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mdotgov-my.sharepoint.com/personal/nevans1_mdot_state_md_us/Documents/Cost Estimator/"/>
    </mc:Choice>
  </mc:AlternateContent>
  <xr:revisionPtr revIDLastSave="31" documentId="13_ncr:1_{2267F9A1-7760-49BE-9435-6803A76842D7}" xr6:coauthVersionLast="45" xr6:coauthVersionMax="45" xr10:uidLastSave="{BB7B272F-6DCE-40BF-86E7-E38D66E2D1E4}"/>
  <workbookProtection lockStructure="1"/>
  <bookViews>
    <workbookView xWindow="-108" yWindow="-108" windowWidth="23256" windowHeight="12696" tabRatio="882" xr2:uid="{679FE14C-A3D4-420C-8776-E732C25A7271}"/>
  </bookViews>
  <sheets>
    <sheet name="INTRO" sheetId="19" r:id="rId1"/>
    <sheet name="Table of Contents" sheetId="21" r:id="rId2"/>
    <sheet name="INSTRUCTIONS" sheetId="20" r:id="rId3"/>
    <sheet name="Shared Lane" sheetId="9" r:id="rId4"/>
    <sheet name="Shared Lanes" sheetId="10" r:id="rId5"/>
    <sheet name="Bike Lane Curbside" sheetId="7" r:id="rId6"/>
    <sheet name="Bike Lanes Curbside" sheetId="11" r:id="rId7"/>
    <sheet name="Bike Lane w Parking" sheetId="8" r:id="rId8"/>
    <sheet name="Bike Lanes w Parking" sheetId="12" r:id="rId9"/>
    <sheet name="Buffer Bike Lane Curbside" sheetId="14" r:id="rId10"/>
    <sheet name="Buffer Bike Lanes Curbside" sheetId="15" r:id="rId11"/>
    <sheet name="Protected Two Way Bike Lane" sheetId="16" r:id="rId12"/>
    <sheet name="Bike Blvd" sheetId="17" r:id="rId13"/>
    <sheet name="Shared-Use Paths" sheetId="6" r:id="rId14"/>
  </sheets>
  <definedNames>
    <definedName name="_xlnm.Print_Area" localSheetId="12">'Bike Blvd'!$A$1:$AD$1</definedName>
    <definedName name="_xlnm.Print_Area" localSheetId="5">'Bike Lane Curbside'!$A$1:$AD$1</definedName>
    <definedName name="_xlnm.Print_Area" localSheetId="7">'Bike Lane w Parking'!$A$1:$AD$1</definedName>
    <definedName name="_xlnm.Print_Area" localSheetId="6">'Bike Lanes Curbside'!$A$1:$AD$1</definedName>
    <definedName name="_xlnm.Print_Area" localSheetId="8">'Bike Lanes w Parking'!$A$1:$AD$1</definedName>
    <definedName name="_xlnm.Print_Area" localSheetId="9">'Buffer Bike Lane Curbside'!$A$1:$AD$1</definedName>
    <definedName name="_xlnm.Print_Area" localSheetId="10">'Buffer Bike Lanes Curbside'!$A$1:$AD$1</definedName>
    <definedName name="_xlnm.Print_Area" localSheetId="2">INSTRUCTIONS!$A$1:$H$41</definedName>
    <definedName name="_xlnm.Print_Area" localSheetId="0">INTRO!$A$1:$G$11</definedName>
    <definedName name="_xlnm.Print_Area" localSheetId="11">'Protected Two Way Bike Lane'!$A$1:$AD$1</definedName>
    <definedName name="_xlnm.Print_Area" localSheetId="3">'Shared Lane'!$A$1:$AD$1</definedName>
    <definedName name="_xlnm.Print_Area" localSheetId="4">'Shared Lanes'!$A$1:$AD$1</definedName>
    <definedName name="_xlnm.Print_Area" localSheetId="13">'Shared-Use Paths'!$A$2:$W$5</definedName>
    <definedName name="_xlnm.Print_Area" localSheetId="1">'Table of Contents'!$A$1:$G$14</definedName>
    <definedName name="_xlnm.Print_Titles" localSheetId="1">'Table of Contents'!$1:$3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6" l="1"/>
  <c r="E15" i="16"/>
  <c r="E15" i="15"/>
  <c r="E15" i="14"/>
  <c r="E14" i="12"/>
  <c r="E14" i="8"/>
  <c r="E14" i="11"/>
  <c r="E14" i="7"/>
  <c r="G28" i="16"/>
  <c r="E19" i="9"/>
  <c r="F29" i="17"/>
  <c r="F28" i="17"/>
  <c r="D7" i="6"/>
  <c r="E15" i="6"/>
  <c r="D6" i="6"/>
  <c r="D5" i="6"/>
  <c r="E16" i="9"/>
  <c r="E16" i="6"/>
  <c r="E14" i="6"/>
  <c r="E18" i="6"/>
  <c r="G16" i="6"/>
  <c r="G15" i="6"/>
  <c r="G14" i="6"/>
  <c r="G23" i="6"/>
  <c r="G26" i="6"/>
  <c r="G25" i="6"/>
  <c r="E25" i="6"/>
  <c r="G24" i="6"/>
  <c r="E24" i="6"/>
  <c r="E23" i="6"/>
  <c r="G28" i="6"/>
  <c r="G29" i="6"/>
  <c r="E29" i="6"/>
  <c r="E28" i="6"/>
  <c r="E31" i="6"/>
  <c r="G31" i="6"/>
  <c r="E32" i="6"/>
  <c r="G32" i="6"/>
  <c r="G21" i="6"/>
  <c r="G19" i="6"/>
  <c r="G20" i="6"/>
  <c r="F24" i="17"/>
  <c r="G24" i="17"/>
  <c r="E23" i="17"/>
  <c r="G29" i="16"/>
  <c r="G34" i="16"/>
  <c r="G33" i="16"/>
  <c r="G32" i="16"/>
  <c r="G31" i="16"/>
  <c r="G35" i="6"/>
  <c r="E15" i="17"/>
  <c r="G15" i="17"/>
  <c r="E17" i="20"/>
  <c r="E5" i="11"/>
  <c r="E11" i="11"/>
  <c r="E19" i="20"/>
  <c r="E15" i="20"/>
  <c r="E14" i="20"/>
  <c r="E13" i="20"/>
  <c r="E7" i="20"/>
  <c r="E19" i="6"/>
  <c r="E20" i="6"/>
  <c r="G18" i="6"/>
  <c r="G8" i="6"/>
  <c r="E9" i="6"/>
  <c r="F26" i="20"/>
  <c r="G23" i="20"/>
  <c r="E22" i="20"/>
  <c r="G22" i="20"/>
  <c r="G21" i="20"/>
  <c r="G20" i="20"/>
  <c r="G17" i="20"/>
  <c r="G16" i="20"/>
  <c r="E17" i="16"/>
  <c r="E17" i="17"/>
  <c r="F31" i="17"/>
  <c r="G31" i="17"/>
  <c r="F27" i="17"/>
  <c r="G27" i="17"/>
  <c r="F30" i="17"/>
  <c r="G30" i="17"/>
  <c r="G29" i="17"/>
  <c r="G28" i="17"/>
  <c r="F26" i="17"/>
  <c r="F25" i="17"/>
  <c r="G17" i="17"/>
  <c r="E14" i="17"/>
  <c r="G14" i="17"/>
  <c r="G13" i="17"/>
  <c r="F23" i="17"/>
  <c r="E21" i="17"/>
  <c r="G21" i="17"/>
  <c r="G20" i="17"/>
  <c r="G19" i="17"/>
  <c r="G18" i="17"/>
  <c r="E5" i="17"/>
  <c r="E12" i="17"/>
  <c r="G12" i="17"/>
  <c r="G32" i="17"/>
  <c r="G25" i="17"/>
  <c r="G23" i="17"/>
  <c r="G26" i="17"/>
  <c r="E20" i="10"/>
  <c r="G34" i="17"/>
  <c r="G35" i="17"/>
  <c r="G15" i="16"/>
  <c r="G14" i="16"/>
  <c r="G14" i="15"/>
  <c r="G15" i="15"/>
  <c r="G14" i="14"/>
  <c r="G15" i="14"/>
  <c r="G13" i="12"/>
  <c r="G14" i="12"/>
  <c r="G13" i="8"/>
  <c r="G14" i="8"/>
  <c r="G13" i="11"/>
  <c r="G14" i="11"/>
  <c r="G13" i="7"/>
  <c r="G14" i="7"/>
  <c r="G36" i="17"/>
  <c r="G37" i="17"/>
  <c r="G21" i="16"/>
  <c r="E20" i="16"/>
  <c r="G20" i="16"/>
  <c r="G19" i="16"/>
  <c r="G18" i="16"/>
  <c r="G17" i="16"/>
  <c r="E5" i="16"/>
  <c r="E12" i="16"/>
  <c r="E20" i="15"/>
  <c r="G20" i="15"/>
  <c r="E17" i="15"/>
  <c r="G17" i="15"/>
  <c r="G21" i="15"/>
  <c r="G19" i="15"/>
  <c r="G18" i="15"/>
  <c r="E5" i="15"/>
  <c r="E13" i="15"/>
  <c r="G13" i="15"/>
  <c r="G21" i="14"/>
  <c r="E20" i="14"/>
  <c r="G20" i="14"/>
  <c r="G19" i="14"/>
  <c r="G18" i="14"/>
  <c r="E17" i="14"/>
  <c r="G17" i="14"/>
  <c r="E5" i="14"/>
  <c r="E12" i="14"/>
  <c r="E19" i="11"/>
  <c r="G19" i="11"/>
  <c r="E19" i="12"/>
  <c r="G19" i="12"/>
  <c r="E16" i="12"/>
  <c r="G16" i="12"/>
  <c r="G20" i="12"/>
  <c r="G18" i="12"/>
  <c r="G17" i="12"/>
  <c r="E5" i="12"/>
  <c r="E16" i="11"/>
  <c r="G16" i="11"/>
  <c r="G20" i="11"/>
  <c r="G18" i="11"/>
  <c r="G17" i="11"/>
  <c r="E12" i="11"/>
  <c r="G12" i="11"/>
  <c r="E16" i="10"/>
  <c r="G16" i="10"/>
  <c r="G20" i="10"/>
  <c r="G19" i="10"/>
  <c r="G18" i="10"/>
  <c r="G17" i="10"/>
  <c r="G13" i="10"/>
  <c r="G12" i="10"/>
  <c r="E5" i="10"/>
  <c r="E11" i="10"/>
  <c r="G16" i="9"/>
  <c r="G19" i="9"/>
  <c r="G20" i="9"/>
  <c r="G18" i="9"/>
  <c r="G17" i="9"/>
  <c r="G13" i="9"/>
  <c r="G12" i="9"/>
  <c r="E5" i="9"/>
  <c r="G20" i="8"/>
  <c r="E19" i="8"/>
  <c r="G19" i="8"/>
  <c r="G18" i="8"/>
  <c r="G17" i="8"/>
  <c r="E16" i="8"/>
  <c r="G16" i="8"/>
  <c r="E5" i="8"/>
  <c r="E12" i="8"/>
  <c r="G18" i="7"/>
  <c r="G20" i="7"/>
  <c r="G17" i="7"/>
  <c r="E19" i="7"/>
  <c r="G19" i="7"/>
  <c r="E16" i="7"/>
  <c r="G16" i="7"/>
  <c r="E5" i="7"/>
  <c r="E12" i="7"/>
  <c r="G12" i="7"/>
  <c r="G12" i="14"/>
  <c r="E23" i="14"/>
  <c r="G23" i="14"/>
  <c r="E24" i="14"/>
  <c r="G24" i="14"/>
  <c r="E25" i="14"/>
  <c r="E11" i="9"/>
  <c r="G11" i="9"/>
  <c r="G21" i="9"/>
  <c r="E12" i="12"/>
  <c r="E11" i="12"/>
  <c r="E26" i="16"/>
  <c r="G26" i="16"/>
  <c r="E23" i="16"/>
  <c r="G23" i="16"/>
  <c r="E12" i="15"/>
  <c r="E11" i="14"/>
  <c r="G11" i="14"/>
  <c r="G38" i="17"/>
  <c r="G39" i="17"/>
  <c r="E13" i="14"/>
  <c r="G13" i="14"/>
  <c r="G25" i="14"/>
  <c r="G12" i="16"/>
  <c r="E25" i="16"/>
  <c r="G25" i="16"/>
  <c r="E13" i="16"/>
  <c r="G13" i="16"/>
  <c r="E11" i="16"/>
  <c r="G11" i="16"/>
  <c r="E24" i="16"/>
  <c r="G24" i="16"/>
  <c r="G12" i="15"/>
  <c r="E11" i="15"/>
  <c r="G11" i="15"/>
  <c r="G12" i="12"/>
  <c r="G11" i="12"/>
  <c r="G11" i="11"/>
  <c r="G21" i="11"/>
  <c r="G11" i="10"/>
  <c r="G21" i="10"/>
  <c r="G23" i="10"/>
  <c r="G24" i="10"/>
  <c r="G12" i="8"/>
  <c r="E11" i="8"/>
  <c r="G11" i="8"/>
  <c r="E11" i="7"/>
  <c r="G11" i="7"/>
  <c r="G21" i="7"/>
  <c r="G27" i="14"/>
  <c r="G29" i="14"/>
  <c r="G30" i="14"/>
  <c r="G35" i="16"/>
  <c r="G37" i="16"/>
  <c r="G38" i="16"/>
  <c r="G41" i="17"/>
  <c r="E25" i="15"/>
  <c r="G25" i="15"/>
  <c r="E23" i="15"/>
  <c r="G23" i="15"/>
  <c r="E24" i="15"/>
  <c r="G24" i="15"/>
  <c r="G21" i="12"/>
  <c r="G23" i="12"/>
  <c r="G24" i="12"/>
  <c r="G23" i="11"/>
  <c r="G24" i="11"/>
  <c r="G25" i="10"/>
  <c r="G26" i="10"/>
  <c r="G27" i="10"/>
  <c r="G23" i="9"/>
  <c r="G24" i="9"/>
  <c r="G21" i="8"/>
  <c r="G23" i="8"/>
  <c r="G23" i="7"/>
  <c r="G24" i="7"/>
  <c r="G7" i="6"/>
  <c r="G6" i="6"/>
  <c r="G5" i="6"/>
  <c r="G27" i="15"/>
  <c r="G29" i="15"/>
  <c r="G30" i="15"/>
  <c r="G9" i="6"/>
  <c r="G11" i="6"/>
  <c r="G39" i="16"/>
  <c r="G40" i="16"/>
  <c r="G31" i="14"/>
  <c r="G32" i="14"/>
  <c r="G25" i="12"/>
  <c r="G26" i="12"/>
  <c r="G25" i="11"/>
  <c r="G26" i="11"/>
  <c r="G28" i="10"/>
  <c r="G25" i="9"/>
  <c r="G26" i="9"/>
  <c r="G24" i="8"/>
  <c r="G25" i="8"/>
  <c r="G26" i="8"/>
  <c r="G25" i="7"/>
  <c r="G26" i="7"/>
  <c r="G12" i="6"/>
  <c r="G37" i="6"/>
  <c r="G30" i="10"/>
  <c r="G41" i="16"/>
  <c r="G42" i="16"/>
  <c r="G31" i="15"/>
  <c r="G32" i="15"/>
  <c r="G33" i="14"/>
  <c r="G34" i="14"/>
  <c r="G27" i="12"/>
  <c r="G28" i="12"/>
  <c r="G27" i="11"/>
  <c r="G28" i="11"/>
  <c r="G27" i="9"/>
  <c r="G28" i="9"/>
  <c r="G27" i="8"/>
  <c r="G28" i="8"/>
  <c r="G27" i="7"/>
  <c r="G28" i="7"/>
  <c r="G36" i="14"/>
  <c r="G44" i="16"/>
  <c r="G33" i="15"/>
  <c r="G34" i="15"/>
  <c r="G30" i="12"/>
  <c r="G30" i="11"/>
  <c r="G30" i="9"/>
  <c r="G30" i="8"/>
  <c r="G30" i="7"/>
  <c r="G36" i="15"/>
  <c r="G19" i="20"/>
  <c r="G13" i="20"/>
  <c r="G14" i="20"/>
  <c r="G15" i="20"/>
  <c r="E26" i="20"/>
  <c r="G26" i="20"/>
  <c r="E29" i="20"/>
  <c r="G29" i="20"/>
  <c r="E27" i="20"/>
  <c r="G27" i="20"/>
  <c r="E28" i="20"/>
  <c r="G28" i="20"/>
  <c r="G30" i="20"/>
  <c r="G32" i="20"/>
  <c r="G33" i="20"/>
  <c r="G34" i="20"/>
  <c r="G35" i="20"/>
  <c r="G36" i="20"/>
  <c r="G37" i="20"/>
  <c r="G39" i="20"/>
  <c r="G39" i="6"/>
  <c r="G40" i="6"/>
  <c r="G41" i="6"/>
  <c r="G42" i="6"/>
  <c r="G43" i="6"/>
  <c r="G44" i="6"/>
  <c r="G46" i="6"/>
</calcChain>
</file>

<file path=xl/sharedStrings.xml><?xml version="1.0" encoding="utf-8"?>
<sst xmlns="http://schemas.openxmlformats.org/spreadsheetml/2006/main" count="766" uniqueCount="165">
  <si>
    <t>Planning Level Cost Estimates for Shared Lanes on One Side of Roadway</t>
  </si>
  <si>
    <t>Characteristics</t>
  </si>
  <si>
    <t>Quantity</t>
  </si>
  <si>
    <t>Length</t>
  </si>
  <si>
    <t>Linear Feet</t>
  </si>
  <si>
    <t>Miles</t>
  </si>
  <si>
    <t>Intersections</t>
  </si>
  <si>
    <t>Each</t>
  </si>
  <si>
    <t>Intersection Width (Avg)</t>
  </si>
  <si>
    <t>Pavement Markings</t>
  </si>
  <si>
    <t>Unit Cost</t>
  </si>
  <si>
    <t>Shared Lanes symbols</t>
  </si>
  <si>
    <t>5" White Retroreflective Pavement Marking</t>
  </si>
  <si>
    <t>5" Yellow Retroreflective Pavement Marking</t>
  </si>
  <si>
    <t>Signs</t>
  </si>
  <si>
    <t>Dimensions</t>
  </si>
  <si>
    <t>Square Footage</t>
  </si>
  <si>
    <t>24" x 18"</t>
  </si>
  <si>
    <t>24" x 8"</t>
  </si>
  <si>
    <t>36" x 30"</t>
  </si>
  <si>
    <t>30" x 30"</t>
  </si>
  <si>
    <t>Construction Subtotal</t>
  </si>
  <si>
    <t>Mobilization</t>
  </si>
  <si>
    <t>10% of Construction Costs</t>
  </si>
  <si>
    <t>Subtotal</t>
  </si>
  <si>
    <t>Contingency</t>
  </si>
  <si>
    <t>Design &amp; Permitting</t>
  </si>
  <si>
    <t>25% of Construction Costs</t>
  </si>
  <si>
    <t>Preliminary Site Investigation</t>
  </si>
  <si>
    <t>5% of Design</t>
  </si>
  <si>
    <t>Project Costs</t>
  </si>
  <si>
    <t>Planning Level Cost Estimates for Shared Lanes on Two Sides of Roadway</t>
  </si>
  <si>
    <t>Planning Level Cost Estimates for Curb Side Bike Lane On One Side of Roadway</t>
  </si>
  <si>
    <t>Bike Lane symbols</t>
  </si>
  <si>
    <t>Green Pavement Marking</t>
  </si>
  <si>
    <t>Square Foot</t>
  </si>
  <si>
    <t>Planning Level Cost Estimates for Curb Side Bike Lanes on Both Sides of Roadway</t>
  </si>
  <si>
    <t>Planning Level Cost Estimates for Bike Lane Against Parking Lane on One Side of Roadway</t>
  </si>
  <si>
    <t>Planning Level Cost Estimates for Bike Lanes Against Parking Lane on Two Sides of Roadway</t>
  </si>
  <si>
    <t>Planning Level Cost Estimates for Curb Side Buffered Bike Lane On One Side of Roadway</t>
  </si>
  <si>
    <t>5" White Retroreflective Pavement Marking for 3' Buffer, 10' Spacing</t>
  </si>
  <si>
    <t>Separation</t>
  </si>
  <si>
    <t>Passive Unit Cost</t>
  </si>
  <si>
    <t>Active Unit Cost</t>
  </si>
  <si>
    <t>Flex posts (10' spacing)</t>
  </si>
  <si>
    <t>Low profile, pre-fab concrete barrier (10' length, 50' spacing)</t>
  </si>
  <si>
    <t>Concrete Planters (6' length, 25' spacing)</t>
  </si>
  <si>
    <t>Planning Level Cost Estimates for Curb Side Buffered Bike Lane On Two Sides of Roadway</t>
  </si>
  <si>
    <t>Planning Level Cost Estimates for Curb Side Two-Way Protected Bike Lane On One Side of Roadway</t>
  </si>
  <si>
    <t>Raised concrete median</t>
  </si>
  <si>
    <t>Planning Level Cost Estimates for Bicycle Boulevard/Neighborhood Greenway Corridor Improvements</t>
  </si>
  <si>
    <t>Contraflow Length</t>
  </si>
  <si>
    <t>Contraflow Intersections</t>
  </si>
  <si>
    <t>Traffic Calming Features</t>
  </si>
  <si>
    <t>Flex posts (10' spacing) for contraflow lane</t>
  </si>
  <si>
    <t>Bicycle-friendly speed humps</t>
  </si>
  <si>
    <t>Curb Extensions</t>
  </si>
  <si>
    <t>Landscaped Chicanes</t>
  </si>
  <si>
    <t>Raised Crosswalk</t>
  </si>
  <si>
    <t>Raised Intersection</t>
  </si>
  <si>
    <t>Mini-Roundabout</t>
  </si>
  <si>
    <t>Bicycle-friendly storm grates</t>
  </si>
  <si>
    <t>Planning Level Cost Estimates for Shared-use Paths</t>
  </si>
  <si>
    <t>Facility Type</t>
  </si>
  <si>
    <t>Context</t>
  </si>
  <si>
    <t>Length (feet)</t>
  </si>
  <si>
    <t>Length (Miles)</t>
  </si>
  <si>
    <t>Trail Base Cost per mile</t>
  </si>
  <si>
    <t>Total Cost per mile</t>
  </si>
  <si>
    <t>Shared-use Path</t>
  </si>
  <si>
    <t>Stream Valley</t>
  </si>
  <si>
    <t>Steep terrain</t>
  </si>
  <si>
    <t>Rolling Terrain</t>
  </si>
  <si>
    <t>Level Terrain</t>
  </si>
  <si>
    <t>Retaining Walls</t>
  </si>
  <si>
    <t>Retaining Wall Cost ($100 per square foot)</t>
  </si>
  <si>
    <t>Bridges</t>
  </si>
  <si>
    <t>Bridge 1</t>
  </si>
  <si>
    <t>Bridge 2</t>
  </si>
  <si>
    <t>Lighting</t>
  </si>
  <si>
    <t>Lighting Cost ($1m per linear mile)</t>
  </si>
  <si>
    <t>Section 1</t>
  </si>
  <si>
    <t>Section 2</t>
  </si>
  <si>
    <t>Railroad Protection Services</t>
  </si>
  <si>
    <t>$750,000 per Location</t>
  </si>
  <si>
    <t>30% of Construction Costs</t>
  </si>
  <si>
    <t>10% of Design</t>
  </si>
  <si>
    <t>Table of Contents</t>
  </si>
  <si>
    <t>Bicycle Facility Type</t>
  </si>
  <si>
    <t>Tab</t>
  </si>
  <si>
    <t>Description</t>
  </si>
  <si>
    <t>Shared Lane</t>
  </si>
  <si>
    <t>A shared lane is represented by conditions where bicycle traffic shares a travel lane with motor vehicle traffic.  While a shared lane is not a dedicated bicycle facility, the tab accounts for shared lane markings, also known as sharrows, and related signage for one travel direction.</t>
  </si>
  <si>
    <t>Shared Lanes</t>
  </si>
  <si>
    <t>A shared lane is represented by conditions where bicycle traffic shares a travel lane with motor vehicle traffic.  While a shared lane is not a dedicated bicycle facility, the tab accounts for shared lane markings, also known as sharrows, and related signage for two-way travel.</t>
  </si>
  <si>
    <t xml:space="preserve">Bike Lane </t>
  </si>
  <si>
    <t>Bike Lane Curbside</t>
  </si>
  <si>
    <t>Bike Lanes Curbside</t>
  </si>
  <si>
    <t>Bike Lane w Parking</t>
  </si>
  <si>
    <t>Bike Lanes w Parking</t>
  </si>
  <si>
    <t>A bike lane is a 5-foot-wide area on the roadway delineated by two parallel white pavement markings.  Bike lanes can be against the curb or between a row of parked cars and a motor vehicle travel lane.  This tab can be used where the bike lane is against the curb, WITH on-street parking, on one side of the street.</t>
  </si>
  <si>
    <t xml:space="preserve">A bike lane is a 5-foot-wide area on the roadway delineated by two parallel white pavement markings.  Bike lanes can be against the curb or between a row of parked cars and a motor vehicle travel lane.  This tab can be used where the bike lane is against the curb, WITH on-street parking, on two sides of the street. </t>
  </si>
  <si>
    <t>A bike lane is a 5-foot-wide area on the roadway delineated by two parallel white pavement markings.  Bike lanes can be against the curb or between a row of parked cars and a motor vehicle travel lane.  This tab can be used where the bike lane is against the curb, WITHOUT on-street parking, on one side of the street.</t>
  </si>
  <si>
    <t xml:space="preserve">A bike lane is a 5-foot-wide area on the roadway delineated by two parallel white pavement markings.  Bike lanes can be against the curb or between a row of parked cars and a motor vehicle travel lane.  This tab can be used where the bike lane is against the curb, WITHOUT on-street parking, on two sides of the street. </t>
  </si>
  <si>
    <t xml:space="preserve">Buffered Bike Lane </t>
  </si>
  <si>
    <t xml:space="preserve">A bike lane can be separated from motor vehicle travel lanes by a striped buffer.  The buffer allows for additional roadway space between bicycle traffic and motor vehicle traffic.  Buffers are at least three-feet-wide and may have vertical delineators, such as flex posts, bollards or planters, to provide additional definition to the bicycle area of travel.  This tab accounts for buffered bike lane construction on one side of a roadway.  While buffered bike lanes may be located between a row of on-street parking and a motor vehicle travel lane, this configuration allows motor vehicle traffic to encroach on the bicycle area of travel, thus reducing the safety of the bike facility.  Due to diminished safety, this estimator does not include calculations for buffered bike lanes between parked vehicles and motor vehicle travel lanes. </t>
  </si>
  <si>
    <t>Buffer Bike Lane Curbside</t>
  </si>
  <si>
    <t>Buffer Bike Lanes Curbside</t>
  </si>
  <si>
    <t xml:space="preserve">A bike lane can be separated from motor vehicle travel lanes by a striped buffer.  The buffer allows for additional roadway space between bicycle traffic and motor vehicle traffic.  Buffers are at least three-feet-wide and may have vertical delineators, such as flex posts, bollards or planters, to provide additional definition to the bicycle area of travel.  This tab accounts for buffered bike lane construction on two sides of a roadway.  While buffered bike lanes may be located between a row of on-street parking and a motor vehicle travel lane, this configuration allows motor vehicle traffic to encroach on the bicycle area of travel, thus reducing the safety of the bike facility.  Due to diminished safety, this estimator does not include calculations for buffered bike lanes between parked vehicles and motor vehicle travel lanes. </t>
  </si>
  <si>
    <t>Planning Level Cost Estimating Tool For Bicycle Infrastructure Projects</t>
  </si>
  <si>
    <t>Protected Two Way Bike Lane</t>
  </si>
  <si>
    <t>Protected Bike Lane/Cycletrack</t>
  </si>
  <si>
    <t xml:space="preserve">A protected bike lane is bike lane that has a physical barrier between the bike lane and motor vehicle travel lane.  For a single direction protected bike lane, use the BUFFER BIKE LANE CURBSIDE tab.  Use this tab for a two-way protected bike lane where two opposing direction bike lanes are located against the curb on one side of the roadway. </t>
  </si>
  <si>
    <t>Bike Blvd</t>
  </si>
  <si>
    <t xml:space="preserve">A bicycle boulevard, or neighborhood greenway, is a low-traffic-volume, low-traffic-speed roadway with minor roadway adjustments to improve bicycle access.  Typically, traffic calming features are applied to a residential corridor to reduce motor vehicle speed and access.  This tab includes a variety of traffic calming features that may be included, or excluded.  As most bicycle boulevards are on two-way residential roadways, this tab includes information that reflect those conditions. </t>
  </si>
  <si>
    <t>Shared-use Paths/Paved Trails</t>
  </si>
  <si>
    <t>Shared-Use Paths</t>
  </si>
  <si>
    <t>Planning Level Cost Estimating Tool Instructions</t>
  </si>
  <si>
    <t>Planning Level Cost Estimates for Curb Side ,Two-Way Protected Bike Lane On One Side of Roadway</t>
  </si>
  <si>
    <t>Project Description (Optional)</t>
  </si>
  <si>
    <t>R3-17 (Bike Lane)</t>
  </si>
  <si>
    <t>Rd-17aP (Bike Lane Ahead)</t>
  </si>
  <si>
    <t>Rd-17bP (Bike Lane Ends)</t>
  </si>
  <si>
    <t>R4-4 (Right Turn Yield to Bikes)</t>
  </si>
  <si>
    <t>R4-11 (Bikes May Use Full Lane)</t>
  </si>
  <si>
    <t xml:space="preserve">Note that this estimator includes generalized costs for asphalt, concrete, grading, drainage improvements, limited utility relocation, pavement markings, signs and traffic signal adjustments. The estimate does not include construction management, special site remediation or the cost for ongoing maintenance. A cost range has been assigned to some general categories; however, these costs can vary widely depending on the exact details and nature of the work. The overall estimates are intended to be general and used for planning purposes. Construction costs will vary based on the ultimate project scope, implementation schedule, and economic conditions at the time of construction. </t>
  </si>
  <si>
    <t>Bicycle Boulevard/Neighborhood Greenway</t>
  </si>
  <si>
    <t xml:space="preserve">A shared-use path is a two-way, hard surface trail that can be used by both bicyclists and pedestrians.  Most shared-use paths have an independent alignment and include most construction items associated with new roadway construction.  The design and construction costs of a shared-use paths are closely tied to the physical environment through which they pass.  As such, generalized project costs are based on level terrain, rolling terrain, steep terrain and stream valleys. </t>
  </si>
  <si>
    <t>Project Description</t>
  </si>
  <si>
    <t>Per Intersection</t>
  </si>
  <si>
    <t>Wall 1</t>
  </si>
  <si>
    <t>Wall 2</t>
  </si>
  <si>
    <t>Wall 3</t>
  </si>
  <si>
    <t>Locations</t>
  </si>
  <si>
    <t xml:space="preserve">Location </t>
  </si>
  <si>
    <t>Signalization</t>
  </si>
  <si>
    <t>Full Intersection(s)</t>
  </si>
  <si>
    <t>Patrial Intersection(s)</t>
  </si>
  <si>
    <t>Additional Features</t>
  </si>
  <si>
    <t>Flex posts (10' spacing) for additional use</t>
  </si>
  <si>
    <t>Pre-fabricated Bridge 1</t>
  </si>
  <si>
    <t>Pre-fabricated Bridge 2</t>
  </si>
  <si>
    <t>Tunnels</t>
  </si>
  <si>
    <t>Tunnel 1</t>
  </si>
  <si>
    <t>Tunnel 2</t>
  </si>
  <si>
    <t>Tunnel Cost ($2600 per square foot)</t>
  </si>
  <si>
    <t>Boardwalk</t>
  </si>
  <si>
    <t>Boardwalk 1</t>
  </si>
  <si>
    <t>Boardwalk 2 (w raillings)</t>
  </si>
  <si>
    <t>Bridges Cost (per square foot)</t>
  </si>
  <si>
    <t>Boardwalk Cost ($45-$150 per square foot)</t>
  </si>
  <si>
    <t>Pervious Pavement</t>
  </si>
  <si>
    <t xml:space="preserve">The bicycle project cost estimator is designed to be an 'easy to use' tool.  Users enter a few parameters for the intended project and the tool calculates costs based on construction costs and assumed percentage costs for design.  These INSTRUCTIONS provide guidance on how to use the tool with descriptions for each field based on a curb side, two-way protected bike lane.  Click on a green cell for more information. Additional guidance is provided on various facility tabs as needed. </t>
  </si>
  <si>
    <t xml:space="preserve">The cost estimating tool is incorporates quantity formulas based on the project specifics. Users only need to input data into the orange fieds (project length, the number of intersections and average intersction width) to calcuate the remaining costs. </t>
  </si>
  <si>
    <t>Additional Costs Associated with Construction Projects</t>
  </si>
  <si>
    <t>For shared-use path projects that include lighting, coordination for the installation, maintenance, operation and expenditure needs to be coordinated among stakeholders. Metering and billing are critical items which need to be determined prior to the lighting design.</t>
  </si>
  <si>
    <t xml:space="preserve">Planning level cost estimates aim to cover a wide range of possible expenses that are typically incurred with projects, but cannot account for all possible items. The cost estimator is also provided as a general planning tool to compare costs from planning, development and engineering professionals. </t>
  </si>
  <si>
    <t xml:space="preserve">The cost estimating tool is based on American Association of State Highway Transportation Officials (AASHTO) and Maryland Manual of Uniformed Traffic Control Devices (MDMUTCD) standards for facility design, pavement markings, sign placement and other standards. The standards are incorporated into quantity calculations based on the project length and other user preferences. </t>
  </si>
  <si>
    <t xml:space="preserve">As no two bicycle facilities are exactly alike, this tool is divided into bicycle facility types to allow for more accurate estimates. Each facility type is located on separate tabs. The below TABLE OF CONTENTS list varying bicycle facilities and descriptions to help identify the appropriate facility to use. </t>
  </si>
  <si>
    <t xml:space="preserve">In addition to design and construction costs, various costs are associated with capital project preparation. These costs include preparing environmental documentation, performing a hydrologic and hydraulic study and establishing easements or acquiring properties, identifying historic or cultural resources, endangered species or contaminated site remediation. </t>
  </si>
  <si>
    <t>Instructions: Enter data in these cells. Some cells may have additional information if you click on them.</t>
  </si>
  <si>
    <t>Instructions: Enter data in these cells. In some instances, cells may be locked but provide additional information.</t>
  </si>
  <si>
    <t>Active Unit Cost (select only one separation type's passive unit cost to apply here)</t>
  </si>
  <si>
    <t xml:space="preserve">This planning level cost estimating tool has been developed by the Maryland Department of Transportation and the Baltimore Regional Transportation Board's Bicycle and Pedestrian Advisory Group. The purpose of this estimator is to provide guidance to local jurisdictions on project design and construction costs associated with bicycle infrastructure. Cost estimates within this tool are developed by identifying pay items and establishing generalized quantities. This tool aims to cover a wide range of possible expenses that are typically incurred with bicycle projects, but cannot account for all possible items. To account for increased costs as design progresses, a 30% continency is included to allow for items not yet designed. The cost estimator is also provided as a general planning tool to compare costs from planning, develpoment and engineering professionals.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</si>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</sst>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
    <numFmt numFmtId="165" formatCode="&quot;$&quot;#,##0"/>
    <numFmt numFmtId="166" formatCode="#,##0.0"/>
    <numFmt numFmtId="167" formatCode="0.000"/>
  </numFmts>
  <fonts count="1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2"/>
      <color theme="0"/>
      <name val="Calibri"/>
      <family val="2"/>
      <scheme val="minor"/>
    </font>
    <font>
      <b/>
      <sz val="12"/>
      <name val="Calibri"/>
      <family val="2"/>
      <scheme val="minor"/>
    </font>
    <font>
      <sz val="11"/>
      <name val="Calibri"/>
      <family val="2"/>
      <scheme val="minor"/>
    </font>
    <font>
      <sz val="12"/>
      <name val="Calibri"/>
      <family val="2"/>
      <scheme val="minor"/>
    </font>
    <font>
      <i/>
      <sz val="11"/>
      <name val="Calibri"/>
      <family val="2"/>
      <scheme val="minor"/>
    </font>
    <font>
      <sz val="11"/>
      <color theme="0" tint="-0.34998626667073579"/>
      <name val="Calibri"/>
      <family val="2"/>
      <scheme val="minor"/>
    </font>
    <font>
      <b/>
      <sz val="16"/>
      <color theme="0"/>
      <name val="Calibri"/>
      <family val="2"/>
      <scheme val="minor"/>
    </font>
    <font>
      <sz val="11"/>
      <color rgb="FF3F3F76"/>
      <name val="Calibri"/>
      <family val="2"/>
      <scheme val="minor"/>
    </font>
    <font>
      <sz val="8"/>
      <name val="Calibri"/>
      <family val="2"/>
      <scheme val="minor"/>
    </font>
    <font>
      <i/>
      <sz val="11"/>
      <color theme="1"/>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FFCC99"/>
      </patternFill>
    </fill>
    <fill>
      <patternFill patternType="solid">
        <fgColor theme="9" tint="0.79998168889431442"/>
        <bgColor indexed="64"/>
      </patternFill>
    </fill>
  </fills>
  <borders count="46">
    <border>
      <left/>
      <right/>
      <top/>
      <bottom/>
      <diagonal/>
    </border>
    <border>
      <left/>
      <right/>
      <top/>
      <bottom style="thin">
        <color theme="0" tint="-4.9989318521683403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bottom style="thin">
        <color theme="0" tint="-4.9989318521683403E-2"/>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medium">
        <color indexed="64"/>
      </top>
      <bottom style="thin">
        <color theme="0" tint="-4.9989318521683403E-2"/>
      </bottom>
      <diagonal/>
    </border>
    <border>
      <left/>
      <right/>
      <top style="medium">
        <color indexed="64"/>
      </top>
      <bottom style="thin">
        <color theme="0" tint="-4.9989318521683403E-2"/>
      </bottom>
      <diagonal/>
    </border>
    <border>
      <left/>
      <right style="medium">
        <color indexed="64"/>
      </right>
      <top style="medium">
        <color indexed="64"/>
      </top>
      <bottom style="thin">
        <color theme="0" tint="-4.9989318521683403E-2"/>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theme="0"/>
      </bottom>
      <diagonal/>
    </border>
    <border>
      <left/>
      <right style="medium">
        <color indexed="64"/>
      </right>
      <top/>
      <bottom style="thin">
        <color theme="0"/>
      </bottom>
      <diagonal/>
    </border>
    <border>
      <left/>
      <right/>
      <top style="thin">
        <color indexed="64"/>
      </top>
      <bottom style="thin">
        <color indexed="64"/>
      </bottom>
      <diagonal/>
    </border>
    <border>
      <left/>
      <right/>
      <top style="double">
        <color indexed="64"/>
      </top>
      <bottom/>
      <diagonal/>
    </border>
    <border>
      <left style="medium">
        <color indexed="64"/>
      </left>
      <right/>
      <top/>
      <bottom style="thin">
        <color theme="0" tint="-0.249977111117893"/>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style="thin">
        <color theme="0"/>
      </top>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
      <left/>
      <right style="medium">
        <color indexed="64"/>
      </right>
      <top style="thin">
        <color theme="0"/>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right style="thin">
        <color rgb="FF7F7F7F"/>
      </right>
      <top/>
      <bottom style="thin">
        <color indexed="64"/>
      </bottom>
      <diagonal/>
    </border>
  </borders>
  <cellStyleXfs count="2">
    <xf numFmtId="0" fontId="0" fillId="0" borderId="0"/>
    <xf numFmtId="0" fontId="12" fillId="3" borderId="38" applyNumberFormat="0" applyAlignment="0" applyProtection="0"/>
  </cellStyleXfs>
  <cellXfs count="394">
    <xf numFmtId="0" fontId="0" fillId="0" borderId="0" xfId="0"/>
    <xf numFmtId="0" fontId="0" fillId="0" borderId="0" xfId="0" applyAlignment="1">
      <alignment vertic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left" vertical="center" wrapText="1"/>
    </xf>
    <xf numFmtId="2" fontId="2" fillId="0" borderId="0" xfId="0" applyNumberFormat="1" applyFont="1" applyAlignment="1">
      <alignment horizontal="left" vertical="center" wrapText="1"/>
    </xf>
    <xf numFmtId="0" fontId="0" fillId="0" borderId="0" xfId="0" applyBorder="1" applyAlignment="1">
      <alignment vertical="center" wrapText="1"/>
    </xf>
    <xf numFmtId="2" fontId="0" fillId="0" borderId="0" xfId="0" applyNumberFormat="1" applyBorder="1" applyAlignment="1">
      <alignment horizontal="center" vertical="center" wrapText="1"/>
    </xf>
    <xf numFmtId="1" fontId="0" fillId="0" borderId="0" xfId="0" applyNumberFormat="1" applyBorder="1" applyAlignment="1">
      <alignment horizontal="center" vertical="center" wrapText="1"/>
    </xf>
    <xf numFmtId="0" fontId="0" fillId="0" borderId="0" xfId="0" applyNumberFormat="1" applyBorder="1" applyAlignment="1">
      <alignment horizontal="center" vertical="center" wrapText="1"/>
    </xf>
    <xf numFmtId="165" fontId="0" fillId="0" borderId="0" xfId="0" applyNumberFormat="1" applyBorder="1" applyAlignment="1">
      <alignment horizontal="center" vertical="center" wrapText="1"/>
    </xf>
    <xf numFmtId="164" fontId="0" fillId="0" borderId="0" xfId="0" applyNumberFormat="1"/>
    <xf numFmtId="165" fontId="0" fillId="0" borderId="0" xfId="0" applyNumberFormat="1"/>
    <xf numFmtId="0" fontId="0" fillId="0" borderId="0" xfId="0" quotePrefix="1" applyAlignment="1">
      <alignment horizontal="left" vertical="top"/>
    </xf>
    <xf numFmtId="0" fontId="7" fillId="0" borderId="0" xfId="0" applyFont="1" applyFill="1"/>
    <xf numFmtId="2" fontId="0" fillId="0" borderId="0" xfId="0" applyNumberFormat="1" applyBorder="1" applyAlignment="1">
      <alignment horizontal="left" vertical="center" wrapText="1"/>
    </xf>
    <xf numFmtId="0" fontId="6" fillId="0" borderId="0" xfId="0" applyFont="1" applyFill="1" applyBorder="1" applyAlignment="1">
      <alignment horizontal="left" vertical="center" wrapText="1"/>
    </xf>
    <xf numFmtId="2" fontId="2" fillId="0" borderId="7" xfId="0" applyNumberFormat="1" applyFont="1" applyBorder="1" applyAlignment="1">
      <alignment horizontal="center" vertical="center" wrapText="1"/>
    </xf>
    <xf numFmtId="0" fontId="0" fillId="0" borderId="6" xfId="0" applyBorder="1" applyAlignment="1">
      <alignment vertical="center" wrapText="1"/>
    </xf>
    <xf numFmtId="2" fontId="3" fillId="2" borderId="1" xfId="0" applyNumberFormat="1" applyFont="1" applyFill="1" applyBorder="1" applyAlignment="1">
      <alignment horizontal="center" vertical="center" wrapText="1"/>
    </xf>
    <xf numFmtId="165" fontId="2" fillId="0" borderId="0" xfId="0" applyNumberFormat="1" applyFont="1" applyBorder="1" applyAlignment="1">
      <alignment horizontal="center" vertical="center" wrapText="1"/>
    </xf>
    <xf numFmtId="3" fontId="0" fillId="0" borderId="0" xfId="0" applyNumberFormat="1" applyBorder="1" applyAlignment="1">
      <alignment horizontal="center" vertical="center" wrapText="1"/>
    </xf>
    <xf numFmtId="0" fontId="0" fillId="0" borderId="0" xfId="0" applyBorder="1"/>
    <xf numFmtId="0" fontId="7" fillId="0" borderId="0" xfId="0" applyFont="1" applyFill="1" applyBorder="1"/>
    <xf numFmtId="0" fontId="8" fillId="0" borderId="0" xfId="0" applyFont="1" applyFill="1" applyBorder="1" applyAlignment="1">
      <alignment vertical="center" wrapText="1"/>
    </xf>
    <xf numFmtId="165" fontId="8" fillId="0" borderId="0"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65" fontId="0" fillId="0" borderId="0" xfId="0" applyNumberFormat="1" applyAlignment="1">
      <alignment horizontal="center" vertical="center" wrapText="1"/>
    </xf>
    <xf numFmtId="0" fontId="8" fillId="0" borderId="0" xfId="0" applyFont="1" applyFill="1" applyBorder="1" applyAlignment="1">
      <alignment horizontal="center"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3" fontId="3" fillId="2" borderId="1"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0" fillId="0" borderId="0" xfId="0" applyNumberFormat="1" applyAlignment="1">
      <alignment horizontal="center" vertical="center" wrapText="1"/>
    </xf>
    <xf numFmtId="0" fontId="0" fillId="0" borderId="14" xfId="0" applyFont="1" applyBorder="1" applyAlignment="1">
      <alignment horizontal="left" vertical="center" wrapText="1"/>
    </xf>
    <xf numFmtId="3" fontId="0" fillId="0" borderId="14" xfId="0" applyNumberFormat="1" applyFont="1" applyBorder="1" applyAlignment="1">
      <alignment horizontal="center" vertical="center" wrapText="1"/>
    </xf>
    <xf numFmtId="2" fontId="0" fillId="0" borderId="14" xfId="0" applyNumberFormat="1" applyFont="1" applyBorder="1" applyAlignment="1">
      <alignment horizontal="center" vertical="center" wrapText="1"/>
    </xf>
    <xf numFmtId="165" fontId="0" fillId="0" borderId="14" xfId="0" applyNumberFormat="1" applyFont="1" applyBorder="1" applyAlignment="1">
      <alignment horizontal="center" vertical="center" wrapText="1"/>
    </xf>
    <xf numFmtId="9" fontId="0" fillId="0" borderId="14" xfId="0" applyNumberFormat="1" applyFont="1" applyBorder="1" applyAlignment="1">
      <alignment horizontal="center" vertical="center" wrapText="1"/>
    </xf>
    <xf numFmtId="0" fontId="0" fillId="0" borderId="0" xfId="0" applyBorder="1" applyAlignment="1">
      <alignment horizontal="center" vertical="center" wrapText="1"/>
    </xf>
    <xf numFmtId="0" fontId="0" fillId="0" borderId="0" xfId="0" applyFont="1" applyBorder="1" applyAlignment="1">
      <alignment horizontal="left" vertical="center" wrapText="1"/>
    </xf>
    <xf numFmtId="3" fontId="0" fillId="0" borderId="0" xfId="0" applyNumberFormat="1" applyFont="1" applyBorder="1" applyAlignment="1">
      <alignment horizontal="center" vertical="center" wrapText="1"/>
    </xf>
    <xf numFmtId="2" fontId="0" fillId="0" borderId="0" xfId="0" applyNumberFormat="1" applyFont="1" applyBorder="1" applyAlignment="1">
      <alignment horizontal="center" vertical="center" wrapText="1"/>
    </xf>
    <xf numFmtId="165" fontId="0" fillId="0" borderId="0" xfId="0" applyNumberFormat="1" applyFont="1" applyBorder="1" applyAlignment="1">
      <alignment horizontal="center" vertical="center" wrapText="1"/>
    </xf>
    <xf numFmtId="0" fontId="3" fillId="2" borderId="17" xfId="0" applyFont="1" applyFill="1" applyBorder="1" applyAlignment="1">
      <alignment vertical="center" wrapText="1"/>
    </xf>
    <xf numFmtId="2" fontId="3" fillId="2" borderId="18" xfId="0" applyNumberFormat="1" applyFont="1" applyFill="1" applyBorder="1" applyAlignment="1">
      <alignment horizontal="center" vertical="center" wrapText="1"/>
    </xf>
    <xf numFmtId="165" fontId="3" fillId="2" borderId="19"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165" fontId="8" fillId="0" borderId="6" xfId="0" applyNumberFormat="1" applyFont="1" applyFill="1" applyBorder="1" applyAlignment="1">
      <alignment horizontal="center" vertical="center" wrapText="1"/>
    </xf>
    <xf numFmtId="0" fontId="7" fillId="0" borderId="5" xfId="0" applyFont="1" applyBorder="1" applyAlignment="1">
      <alignment vertical="center" wrapText="1"/>
    </xf>
    <xf numFmtId="0" fontId="7" fillId="0" borderId="5" xfId="0" quotePrefix="1" applyFont="1" applyBorder="1" applyAlignment="1">
      <alignment horizontal="left" vertical="center"/>
    </xf>
    <xf numFmtId="0" fontId="0" fillId="0" borderId="0" xfId="0" quotePrefix="1" applyFont="1" applyBorder="1" applyAlignment="1">
      <alignment horizontal="left" vertical="center"/>
    </xf>
    <xf numFmtId="0" fontId="0" fillId="0" borderId="0" xfId="0" quotePrefix="1" applyFont="1" applyBorder="1" applyAlignment="1">
      <alignment horizontal="center" vertical="center"/>
    </xf>
    <xf numFmtId="165" fontId="0" fillId="0" borderId="0" xfId="0" quotePrefix="1" applyNumberFormat="1" applyFont="1" applyBorder="1" applyAlignment="1">
      <alignment horizontal="center" vertical="center"/>
    </xf>
    <xf numFmtId="0" fontId="3" fillId="2" borderId="13" xfId="0" applyFont="1" applyFill="1" applyBorder="1" applyAlignment="1">
      <alignment horizontal="left" vertical="center" wrapText="1"/>
    </xf>
    <xf numFmtId="165" fontId="0" fillId="0" borderId="6" xfId="0" quotePrefix="1" applyNumberFormat="1" applyFont="1" applyBorder="1" applyAlignment="1">
      <alignment horizontal="center" vertical="center"/>
    </xf>
    <xf numFmtId="0" fontId="0" fillId="0" borderId="5" xfId="0" applyFont="1" applyBorder="1" applyAlignment="1">
      <alignment vertical="center" wrapText="1"/>
    </xf>
    <xf numFmtId="165" fontId="0" fillId="0" borderId="6" xfId="0" applyNumberFormat="1" applyFont="1" applyBorder="1" applyAlignment="1">
      <alignment horizontal="center" vertical="center" wrapText="1"/>
    </xf>
    <xf numFmtId="0" fontId="0" fillId="0" borderId="20" xfId="0" applyFont="1" applyBorder="1" applyAlignment="1">
      <alignment vertical="center" wrapText="1"/>
    </xf>
    <xf numFmtId="165" fontId="0" fillId="0" borderId="21" xfId="0" applyNumberFormat="1"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horizontal="left" vertical="center" wrapText="1"/>
    </xf>
    <xf numFmtId="3" fontId="2" fillId="0" borderId="7"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165" fontId="0" fillId="2" borderId="6" xfId="0" quotePrefix="1" applyNumberFormat="1" applyFont="1" applyFill="1" applyBorder="1" applyAlignment="1">
      <alignment horizontal="center" vertical="center"/>
    </xf>
    <xf numFmtId="0" fontId="1" fillId="2" borderId="5" xfId="0" applyFont="1" applyFill="1" applyBorder="1" applyAlignment="1">
      <alignment vertical="center" wrapText="1"/>
    </xf>
    <xf numFmtId="6" fontId="1" fillId="2" borderId="0" xfId="0" applyNumberFormat="1" applyFont="1" applyFill="1" applyBorder="1" applyAlignment="1">
      <alignment horizontal="left" vertical="center" wrapText="1"/>
    </xf>
    <xf numFmtId="3" fontId="1" fillId="2" borderId="0" xfId="0"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wrapText="1"/>
    </xf>
    <xf numFmtId="165" fontId="1" fillId="2" borderId="0" xfId="0" applyNumberFormat="1" applyFont="1" applyFill="1" applyBorder="1" applyAlignment="1">
      <alignment horizontal="center" vertical="center" wrapText="1"/>
    </xf>
    <xf numFmtId="165" fontId="1" fillId="2" borderId="6" xfId="0" applyNumberFormat="1" applyFont="1" applyFill="1" applyBorder="1" applyAlignment="1">
      <alignment horizontal="center" vertical="center" wrapText="1"/>
    </xf>
    <xf numFmtId="0" fontId="3" fillId="2" borderId="5" xfId="0" applyFont="1" applyFill="1" applyBorder="1" applyAlignment="1">
      <alignment vertical="center" wrapText="1"/>
    </xf>
    <xf numFmtId="9" fontId="3" fillId="2" borderId="0" xfId="0" applyNumberFormat="1" applyFont="1" applyFill="1" applyBorder="1" applyAlignment="1">
      <alignment horizontal="center" vertical="center" wrapText="1"/>
    </xf>
    <xf numFmtId="0" fontId="3" fillId="2" borderId="22" xfId="0" applyFont="1" applyFill="1" applyBorder="1" applyAlignment="1">
      <alignment vertical="center" wrapText="1"/>
    </xf>
    <xf numFmtId="9" fontId="3" fillId="2" borderId="15" xfId="0" applyNumberFormat="1" applyFont="1" applyFill="1" applyBorder="1" applyAlignment="1">
      <alignment horizontal="center" vertical="center" wrapText="1"/>
    </xf>
    <xf numFmtId="165" fontId="3" fillId="2" borderId="23" xfId="0" applyNumberFormat="1" applyFont="1" applyFill="1" applyBorder="1" applyAlignment="1">
      <alignment horizontal="center" vertical="center" wrapText="1"/>
    </xf>
    <xf numFmtId="0" fontId="3" fillId="2" borderId="26" xfId="0" applyFont="1" applyFill="1" applyBorder="1" applyAlignment="1">
      <alignment vertical="center" wrapText="1"/>
    </xf>
    <xf numFmtId="9" fontId="3" fillId="2" borderId="27" xfId="0" applyNumberFormat="1" applyFont="1" applyFill="1" applyBorder="1" applyAlignment="1">
      <alignment horizontal="center" vertical="center" wrapText="1"/>
    </xf>
    <xf numFmtId="165" fontId="3" fillId="2" borderId="28" xfId="0" applyNumberFormat="1" applyFont="1" applyFill="1" applyBorder="1" applyAlignment="1">
      <alignment horizontal="center" vertical="center" wrapText="1"/>
    </xf>
    <xf numFmtId="0" fontId="2" fillId="0" borderId="24" xfId="0" applyFont="1" applyBorder="1" applyAlignment="1">
      <alignment vertical="center" wrapText="1"/>
    </xf>
    <xf numFmtId="0" fontId="2" fillId="0" borderId="16" xfId="0" applyFont="1" applyBorder="1" applyAlignment="1">
      <alignment horizontal="left" vertical="center" wrapText="1"/>
    </xf>
    <xf numFmtId="9" fontId="2" fillId="0" borderId="16" xfId="0" applyNumberFormat="1" applyFont="1" applyBorder="1" applyAlignment="1">
      <alignment horizontal="center" vertical="center" wrapText="1"/>
    </xf>
    <xf numFmtId="165" fontId="2" fillId="0" borderId="25" xfId="0" applyNumberFormat="1" applyFont="1" applyBorder="1" applyAlignment="1">
      <alignment horizontal="center" vertical="center" wrapText="1"/>
    </xf>
    <xf numFmtId="2" fontId="2" fillId="0" borderId="0" xfId="0" applyNumberFormat="1" applyFont="1" applyBorder="1" applyAlignment="1">
      <alignment horizontal="left" vertical="center" wrapText="1"/>
    </xf>
    <xf numFmtId="0" fontId="4" fillId="0" borderId="0" xfId="0" applyFont="1" applyFill="1" applyBorder="1" applyAlignment="1">
      <alignment vertical="center" wrapText="1"/>
    </xf>
    <xf numFmtId="0" fontId="4" fillId="0" borderId="29" xfId="0" applyFont="1" applyFill="1" applyBorder="1" applyAlignment="1">
      <alignment vertical="center" wrapText="1"/>
    </xf>
    <xf numFmtId="0" fontId="3" fillId="2" borderId="18" xfId="0" applyFont="1" applyFill="1" applyBorder="1" applyAlignment="1">
      <alignment horizontal="center" vertical="center" wrapText="1"/>
    </xf>
    <xf numFmtId="0" fontId="0" fillId="0" borderId="0" xfId="0" applyFont="1" applyBorder="1" applyAlignment="1">
      <alignment horizontal="center" vertical="center" wrapText="1"/>
    </xf>
    <xf numFmtId="0" fontId="7" fillId="0" borderId="13" xfId="0" applyFont="1" applyFill="1" applyBorder="1" applyAlignment="1">
      <alignment horizontal="left" vertical="center" wrapText="1"/>
    </xf>
    <xf numFmtId="3" fontId="0" fillId="0" borderId="0" xfId="0" quotePrefix="1" applyNumberFormat="1" applyFont="1" applyBorder="1" applyAlignment="1">
      <alignment horizontal="center" vertical="center"/>
    </xf>
    <xf numFmtId="166" fontId="8" fillId="0" borderId="0" xfId="0" applyNumberFormat="1" applyFont="1" applyFill="1" applyBorder="1" applyAlignment="1">
      <alignment horizontal="center" vertical="center" wrapText="1"/>
    </xf>
    <xf numFmtId="0" fontId="0" fillId="0" borderId="0" xfId="0" quotePrefix="1" applyFont="1" applyBorder="1" applyAlignment="1">
      <alignment horizontal="center" vertical="center" wrapText="1"/>
    </xf>
    <xf numFmtId="0" fontId="3" fillId="2" borderId="1" xfId="0" applyFont="1" applyFill="1" applyBorder="1" applyAlignment="1">
      <alignment horizontal="center" vertical="center" wrapText="1"/>
    </xf>
    <xf numFmtId="3" fontId="0" fillId="0" borderId="14" xfId="0" applyNumberFormat="1" applyFont="1" applyBorder="1" applyAlignment="1">
      <alignment horizontal="left" vertical="center" wrapText="1"/>
    </xf>
    <xf numFmtId="2" fontId="0" fillId="0" borderId="14" xfId="0" applyNumberFormat="1" applyFont="1" applyBorder="1" applyAlignment="1">
      <alignment horizontal="left" vertical="center" wrapText="1"/>
    </xf>
    <xf numFmtId="3" fontId="2" fillId="0" borderId="16" xfId="0" applyNumberFormat="1" applyFont="1" applyBorder="1" applyAlignment="1">
      <alignment horizontal="left" vertical="center" wrapText="1"/>
    </xf>
    <xf numFmtId="2" fontId="2" fillId="0" borderId="16" xfId="0" applyNumberFormat="1" applyFont="1" applyBorder="1" applyAlignment="1">
      <alignment horizontal="left" vertical="center" wrapText="1"/>
    </xf>
    <xf numFmtId="2" fontId="0" fillId="2" borderId="0" xfId="0" applyNumberFormat="1" applyFill="1" applyBorder="1" applyAlignment="1">
      <alignment horizontal="left" vertical="center" wrapText="1"/>
    </xf>
    <xf numFmtId="1" fontId="0" fillId="0" borderId="33" xfId="0" applyNumberFormat="1" applyBorder="1" applyAlignment="1">
      <alignment horizontal="left" vertical="center" wrapText="1"/>
    </xf>
    <xf numFmtId="1" fontId="0" fillId="0" borderId="33" xfId="0" applyNumberFormat="1" applyBorder="1" applyAlignment="1">
      <alignment horizontal="center" vertical="center" wrapText="1"/>
    </xf>
    <xf numFmtId="1" fontId="0" fillId="0" borderId="0" xfId="0" quotePrefix="1" applyNumberFormat="1" applyFont="1" applyBorder="1" applyAlignment="1">
      <alignment horizontal="center" vertical="center"/>
    </xf>
    <xf numFmtId="165" fontId="10" fillId="0" borderId="0" xfId="0" quotePrefix="1" applyNumberFormat="1" applyFont="1" applyBorder="1" applyAlignment="1">
      <alignment horizontal="center" vertical="center"/>
    </xf>
    <xf numFmtId="0" fontId="3" fillId="2" borderId="0" xfId="0" applyFont="1" applyFill="1" applyBorder="1" applyAlignment="1">
      <alignment horizontal="center" vertical="center" wrapText="1"/>
    </xf>
    <xf numFmtId="2" fontId="0" fillId="0" borderId="0" xfId="0" applyNumberFormat="1" applyAlignment="1">
      <alignment horizontal="left" vertical="center"/>
    </xf>
    <xf numFmtId="2" fontId="0" fillId="0" borderId="0" xfId="0" applyNumberFormat="1" applyAlignment="1">
      <alignment horizontal="left" vertical="center" wrapText="1"/>
    </xf>
    <xf numFmtId="0" fontId="8" fillId="0" borderId="0" xfId="0" applyFont="1" applyFill="1" applyBorder="1" applyAlignment="1">
      <alignment vertical="center"/>
    </xf>
    <xf numFmtId="2" fontId="0" fillId="0" borderId="0" xfId="0" applyNumberFormat="1" applyAlignment="1">
      <alignment horizontal="left" vertical="center" wrapText="1"/>
    </xf>
    <xf numFmtId="165" fontId="10" fillId="0" borderId="0" xfId="0" quotePrefix="1" applyNumberFormat="1" applyFont="1" applyBorder="1" applyAlignment="1" applyProtection="1">
      <alignment horizontal="center" vertical="center"/>
    </xf>
    <xf numFmtId="2" fontId="0" fillId="0" borderId="0" xfId="0" applyNumberFormat="1" applyAlignment="1">
      <alignment vertical="center" wrapText="1"/>
    </xf>
    <xf numFmtId="0" fontId="0" fillId="0" borderId="0" xfId="0" quotePrefix="1" applyAlignment="1">
      <alignment horizontal="left" vertical="top" wrapText="1"/>
    </xf>
    <xf numFmtId="0" fontId="2" fillId="0" borderId="0" xfId="0" applyFont="1"/>
    <xf numFmtId="0" fontId="2" fillId="0" borderId="0" xfId="0" applyFont="1" applyBorder="1" applyAlignment="1">
      <alignment horizontal="left" vertical="center" wrapText="1"/>
    </xf>
    <xf numFmtId="0" fontId="8" fillId="0" borderId="0" xfId="0" applyFont="1" applyFill="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0" fillId="0" borderId="0" xfId="0" quotePrefix="1" applyAlignment="1">
      <alignment horizontal="left" vertical="center"/>
    </xf>
    <xf numFmtId="0" fontId="2" fillId="0" borderId="0" xfId="0" quotePrefix="1" applyFont="1" applyAlignment="1">
      <alignment horizontal="left" vertical="top"/>
    </xf>
    <xf numFmtId="0" fontId="14" fillId="0" borderId="0" xfId="0" quotePrefix="1" applyFont="1" applyAlignment="1">
      <alignment horizontal="left" vertical="top"/>
    </xf>
    <xf numFmtId="0" fontId="0" fillId="0" borderId="0" xfId="0" quotePrefix="1" applyFont="1" applyAlignment="1">
      <alignment horizontal="left" vertical="top"/>
    </xf>
    <xf numFmtId="2" fontId="2" fillId="0" borderId="0" xfId="0" applyNumberFormat="1" applyFont="1" applyAlignment="1">
      <alignment horizontal="left" vertical="center"/>
    </xf>
    <xf numFmtId="0" fontId="0" fillId="0" borderId="0" xfId="0" applyBorder="1" applyAlignment="1">
      <alignment wrapText="1"/>
    </xf>
    <xf numFmtId="0" fontId="11" fillId="0" borderId="11" xfId="0" applyFont="1" applyFill="1" applyBorder="1" applyAlignment="1">
      <alignment vertical="center" wrapText="1"/>
    </xf>
    <xf numFmtId="0" fontId="0" fillId="0" borderId="0" xfId="0" applyFill="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36" xfId="0" applyBorder="1" applyAlignment="1">
      <alignment horizontal="left" vertical="center" wrapText="1"/>
    </xf>
    <xf numFmtId="0" fontId="2" fillId="0" borderId="34" xfId="0" applyFont="1" applyBorder="1" applyAlignment="1">
      <alignment horizontal="left" vertical="center" wrapText="1"/>
    </xf>
    <xf numFmtId="0" fontId="2" fillId="0" borderId="41" xfId="0" applyFont="1" applyBorder="1" applyAlignment="1">
      <alignment horizontal="left" vertical="center" wrapText="1"/>
    </xf>
    <xf numFmtId="0" fontId="6" fillId="0" borderId="0" xfId="0" applyFont="1" applyFill="1" applyBorder="1" applyAlignment="1">
      <alignment vertical="center" wrapText="1"/>
    </xf>
    <xf numFmtId="0" fontId="0" fillId="0" borderId="0" xfId="0" quotePrefix="1" applyBorder="1" applyAlignment="1">
      <alignment vertical="center"/>
    </xf>
    <xf numFmtId="0" fontId="5" fillId="0" borderId="0" xfId="0" applyFont="1" applyFill="1" applyBorder="1" applyAlignment="1">
      <alignment vertical="center" wrapText="1"/>
    </xf>
    <xf numFmtId="0" fontId="2" fillId="0" borderId="0" xfId="0" quotePrefix="1" applyFont="1" applyFill="1" applyAlignment="1">
      <alignment horizontal="left" vertical="top"/>
    </xf>
    <xf numFmtId="0" fontId="0" fillId="0" borderId="0" xfId="0" quotePrefix="1" applyAlignment="1">
      <alignment vertical="top" wrapText="1"/>
    </xf>
    <xf numFmtId="0" fontId="0" fillId="0" borderId="0" xfId="0" quotePrefix="1" applyBorder="1" applyAlignment="1">
      <alignment horizontal="left" vertical="top"/>
    </xf>
    <xf numFmtId="2" fontId="0" fillId="0" borderId="0" xfId="0" applyNumberFormat="1" applyBorder="1" applyAlignment="1">
      <alignment horizontal="left" vertical="center"/>
    </xf>
    <xf numFmtId="0" fontId="0" fillId="0" borderId="0" xfId="0" quotePrefix="1" applyBorder="1" applyAlignment="1">
      <alignment vertical="top"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2" fontId="0" fillId="0" borderId="0" xfId="0" applyNumberFormat="1" applyBorder="1" applyAlignment="1">
      <alignment horizontal="left" vertical="center" wrapText="1"/>
    </xf>
    <xf numFmtId="0" fontId="0" fillId="0" borderId="0" xfId="0" applyFill="1" applyBorder="1" applyAlignment="1">
      <alignment vertical="top" wrapText="1"/>
    </xf>
    <xf numFmtId="0" fontId="0" fillId="0" borderId="0" xfId="0" applyBorder="1" applyAlignment="1">
      <alignment vertical="top"/>
    </xf>
    <xf numFmtId="0" fontId="0" fillId="0" borderId="0" xfId="0" applyAlignment="1">
      <alignment vertical="top"/>
    </xf>
    <xf numFmtId="0" fontId="0" fillId="0" borderId="0" xfId="0" applyBorder="1" applyAlignment="1">
      <alignment horizontal="left" vertical="center" wrapText="1"/>
    </xf>
    <xf numFmtId="2" fontId="0" fillId="0" borderId="0" xfId="0" applyNumberFormat="1" applyBorder="1" applyAlignment="1">
      <alignment horizontal="left" vertical="center" wrapText="1"/>
    </xf>
    <xf numFmtId="165" fontId="10" fillId="4" borderId="0" xfId="0" quotePrefix="1" applyNumberFormat="1" applyFont="1" applyFill="1" applyBorder="1" applyAlignment="1">
      <alignment horizontal="center" vertical="center"/>
    </xf>
    <xf numFmtId="165" fontId="0" fillId="4" borderId="6" xfId="0" quotePrefix="1" applyNumberFormat="1" applyFont="1" applyFill="1" applyBorder="1" applyAlignment="1">
      <alignment horizontal="center" vertical="center"/>
    </xf>
    <xf numFmtId="165" fontId="8" fillId="4" borderId="6" xfId="0" applyNumberFormat="1" applyFont="1" applyFill="1" applyBorder="1" applyAlignment="1">
      <alignment horizontal="center" vertical="center" wrapText="1"/>
    </xf>
    <xf numFmtId="3" fontId="8" fillId="0" borderId="0" xfId="0" applyNumberFormat="1" applyFont="1" applyFill="1" applyBorder="1" applyAlignment="1" applyProtection="1">
      <alignment horizontal="center" vertical="center" wrapText="1"/>
    </xf>
    <xf numFmtId="0" fontId="0" fillId="0" borderId="0" xfId="0" quotePrefix="1" applyFont="1" applyBorder="1" applyAlignment="1" applyProtection="1">
      <alignment horizontal="center" vertical="center"/>
    </xf>
    <xf numFmtId="3" fontId="0" fillId="0" borderId="0" xfId="0" quotePrefix="1" applyNumberFormat="1" applyFont="1" applyBorder="1" applyAlignment="1" applyProtection="1">
      <alignment horizontal="center" vertical="center"/>
    </xf>
    <xf numFmtId="0" fontId="0" fillId="0" borderId="5" xfId="0" applyBorder="1" applyAlignment="1" applyProtection="1">
      <alignment horizontal="center" vertical="center" wrapText="1"/>
    </xf>
    <xf numFmtId="0" fontId="0" fillId="0" borderId="0" xfId="0" applyBorder="1" applyAlignment="1" applyProtection="1">
      <alignment vertical="center" wrapText="1"/>
    </xf>
    <xf numFmtId="0" fontId="0" fillId="0" borderId="0" xfId="0" applyNumberFormat="1" applyBorder="1" applyAlignment="1" applyProtection="1">
      <alignment horizontal="center" vertical="center" wrapText="1"/>
    </xf>
    <xf numFmtId="2" fontId="0" fillId="0" borderId="0" xfId="0" applyNumberFormat="1" applyBorder="1" applyAlignment="1" applyProtection="1">
      <alignment horizontal="center" vertical="center" wrapText="1"/>
    </xf>
    <xf numFmtId="1" fontId="0" fillId="0" borderId="0" xfId="0" applyNumberFormat="1" applyBorder="1" applyAlignment="1" applyProtection="1">
      <alignment horizontal="center" vertical="center" wrapText="1"/>
    </xf>
    <xf numFmtId="165" fontId="0" fillId="0" borderId="0" xfId="0" applyNumberFormat="1" applyBorder="1" applyAlignment="1" applyProtection="1">
      <alignment horizontal="center" vertical="center" wrapText="1"/>
    </xf>
    <xf numFmtId="3" fontId="0" fillId="0" borderId="0" xfId="0" applyNumberFormat="1" applyBorder="1" applyAlignment="1" applyProtection="1">
      <alignment horizontal="center" vertical="center" wrapText="1"/>
    </xf>
    <xf numFmtId="165" fontId="2" fillId="0" borderId="0" xfId="0" applyNumberFormat="1" applyFont="1" applyBorder="1" applyAlignment="1" applyProtection="1">
      <alignment horizontal="center" vertical="center" wrapText="1"/>
    </xf>
    <xf numFmtId="0" fontId="0" fillId="0" borderId="6" xfId="0" applyBorder="1" applyAlignment="1" applyProtection="1">
      <alignment vertical="center" wrapText="1"/>
    </xf>
    <xf numFmtId="0" fontId="0" fillId="0" borderId="0" xfId="0" applyProtection="1"/>
    <xf numFmtId="165" fontId="0" fillId="0" borderId="0" xfId="0" applyNumberFormat="1" applyProtection="1"/>
    <xf numFmtId="164" fontId="0" fillId="0" borderId="0" xfId="0" applyNumberFormat="1" applyProtection="1"/>
    <xf numFmtId="0" fontId="0" fillId="0" borderId="0" xfId="0" quotePrefix="1" applyAlignment="1" applyProtection="1">
      <alignment horizontal="left" vertical="top"/>
    </xf>
    <xf numFmtId="2" fontId="0" fillId="0" borderId="0" xfId="0" applyNumberFormat="1" applyAlignment="1" applyProtection="1">
      <alignment horizontal="left" vertical="center" wrapText="1"/>
    </xf>
    <xf numFmtId="1" fontId="0" fillId="0" borderId="0" xfId="0" applyNumberFormat="1" applyAlignment="1" applyProtection="1">
      <alignment horizontal="center" vertical="center" wrapText="1"/>
    </xf>
    <xf numFmtId="2" fontId="2" fillId="0" borderId="0" xfId="0" applyNumberFormat="1" applyFont="1" applyAlignment="1" applyProtection="1">
      <alignment horizontal="left" vertical="center" wrapText="1"/>
    </xf>
    <xf numFmtId="0" fontId="0" fillId="0" borderId="0" xfId="0" applyAlignment="1" applyProtection="1">
      <alignment vertical="center" wrapText="1"/>
    </xf>
    <xf numFmtId="0" fontId="3" fillId="2" borderId="17" xfId="0" applyFont="1" applyFill="1" applyBorder="1" applyAlignment="1" applyProtection="1">
      <alignment vertical="center" wrapText="1"/>
    </xf>
    <xf numFmtId="0" fontId="3" fillId="2" borderId="18" xfId="0" applyFont="1" applyFill="1" applyBorder="1" applyAlignment="1" applyProtection="1">
      <alignment horizontal="center" vertical="center" wrapText="1"/>
    </xf>
    <xf numFmtId="3" fontId="3" fillId="2" borderId="18" xfId="0" applyNumberFormat="1" applyFont="1" applyFill="1" applyBorder="1" applyAlignment="1" applyProtection="1">
      <alignment horizontal="center" vertical="center" wrapText="1"/>
    </xf>
    <xf numFmtId="2" fontId="3" fillId="2" borderId="18" xfId="0" applyNumberFormat="1" applyFont="1" applyFill="1" applyBorder="1" applyAlignment="1" applyProtection="1">
      <alignment horizontal="center" vertical="center" wrapText="1"/>
    </xf>
    <xf numFmtId="165" fontId="3" fillId="2" borderId="19" xfId="0" applyNumberFormat="1" applyFont="1" applyFill="1" applyBorder="1" applyAlignment="1" applyProtection="1">
      <alignment horizontal="center" vertical="center" wrapText="1"/>
    </xf>
    <xf numFmtId="0" fontId="8" fillId="0" borderId="5"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2" fontId="0" fillId="0" borderId="0" xfId="0" applyNumberFormat="1" applyBorder="1" applyAlignment="1" applyProtection="1">
      <alignment horizontal="left" vertical="center" wrapText="1"/>
    </xf>
    <xf numFmtId="165" fontId="8" fillId="0" borderId="6" xfId="0" applyNumberFormat="1" applyFont="1" applyFill="1" applyBorder="1" applyAlignment="1" applyProtection="1">
      <alignment horizontal="center" vertical="center" wrapText="1"/>
    </xf>
    <xf numFmtId="0" fontId="7" fillId="0" borderId="5" xfId="0" applyFont="1" applyBorder="1" applyAlignment="1" applyProtection="1">
      <alignment vertical="center" wrapText="1"/>
    </xf>
    <xf numFmtId="0" fontId="0" fillId="0" borderId="0" xfId="0" applyFont="1" applyBorder="1" applyAlignment="1" applyProtection="1">
      <alignment horizontal="center" vertical="center" wrapText="1"/>
    </xf>
    <xf numFmtId="165" fontId="0" fillId="0" borderId="0" xfId="0" applyNumberFormat="1" applyFont="1" applyBorder="1" applyAlignment="1" applyProtection="1">
      <alignment horizontal="center" vertical="center" wrapText="1"/>
    </xf>
    <xf numFmtId="0" fontId="7" fillId="0" borderId="5" xfId="0" quotePrefix="1" applyFont="1" applyBorder="1" applyAlignment="1" applyProtection="1">
      <alignment horizontal="left" vertical="center"/>
    </xf>
    <xf numFmtId="0" fontId="0" fillId="0" borderId="0" xfId="0" quotePrefix="1" applyFont="1" applyBorder="1" applyAlignment="1" applyProtection="1">
      <alignment horizontal="center" vertical="center" wrapText="1"/>
    </xf>
    <xf numFmtId="165" fontId="0" fillId="0" borderId="0" xfId="0" quotePrefix="1" applyNumberFormat="1" applyFont="1" applyBorder="1" applyAlignment="1" applyProtection="1">
      <alignment horizontal="center" vertical="center"/>
    </xf>
    <xf numFmtId="0" fontId="3" fillId="2" borderId="13" xfId="0" applyFont="1" applyFill="1" applyBorder="1" applyAlignment="1" applyProtection="1">
      <alignment horizontal="left" vertical="center" wrapText="1"/>
    </xf>
    <xf numFmtId="0" fontId="3" fillId="2" borderId="1" xfId="0" applyFont="1" applyFill="1" applyBorder="1" applyAlignment="1" applyProtection="1">
      <alignment horizontal="center" vertical="center" wrapText="1"/>
    </xf>
    <xf numFmtId="2" fontId="0" fillId="2" borderId="0" xfId="0" applyNumberFormat="1" applyFill="1" applyBorder="1" applyAlignment="1" applyProtection="1">
      <alignment horizontal="left" vertical="center" wrapText="1"/>
    </xf>
    <xf numFmtId="165" fontId="3" fillId="2" borderId="1" xfId="0" applyNumberFormat="1" applyFont="1" applyFill="1" applyBorder="1" applyAlignment="1" applyProtection="1">
      <alignment horizontal="center" vertical="center" wrapText="1"/>
    </xf>
    <xf numFmtId="165" fontId="0" fillId="2" borderId="6" xfId="0" quotePrefix="1" applyNumberFormat="1" applyFont="1" applyFill="1" applyBorder="1" applyAlignment="1" applyProtection="1">
      <alignment horizontal="center" vertical="center"/>
    </xf>
    <xf numFmtId="0" fontId="7" fillId="0" borderId="13" xfId="0" applyFont="1" applyFill="1" applyBorder="1" applyAlignment="1" applyProtection="1">
      <alignment horizontal="left" vertical="center" wrapText="1"/>
    </xf>
    <xf numFmtId="0" fontId="0" fillId="0" borderId="0" xfId="0" applyAlignment="1" applyProtection="1">
      <alignment horizontal="center" vertical="center" wrapText="1"/>
    </xf>
    <xf numFmtId="3" fontId="3"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2" fontId="0" fillId="0" borderId="0" xfId="0" applyNumberFormat="1" applyAlignment="1" applyProtection="1">
      <alignment horizontal="center" vertical="center" wrapText="1"/>
    </xf>
    <xf numFmtId="2" fontId="0" fillId="0" borderId="0" xfId="0" applyNumberFormat="1" applyAlignment="1" applyProtection="1">
      <alignment horizontal="left" vertical="center"/>
    </xf>
    <xf numFmtId="1" fontId="0" fillId="0" borderId="33" xfId="0" applyNumberFormat="1" applyBorder="1" applyAlignment="1" applyProtection="1">
      <alignment horizontal="left" vertical="center" wrapText="1"/>
    </xf>
    <xf numFmtId="165" fontId="0" fillId="0" borderId="6" xfId="0" quotePrefix="1" applyNumberFormat="1" applyFont="1" applyBorder="1" applyAlignment="1" applyProtection="1">
      <alignment horizontal="center" vertical="center"/>
    </xf>
    <xf numFmtId="1" fontId="0" fillId="0" borderId="33" xfId="0" applyNumberFormat="1" applyBorder="1" applyAlignment="1" applyProtection="1">
      <alignment horizontal="center" vertical="center" wrapText="1"/>
    </xf>
    <xf numFmtId="0" fontId="0" fillId="0" borderId="0" xfId="0" quotePrefix="1" applyFont="1" applyBorder="1" applyAlignment="1" applyProtection="1">
      <alignment horizontal="left" vertical="center"/>
    </xf>
    <xf numFmtId="0" fontId="1" fillId="2" borderId="5" xfId="0" applyFont="1" applyFill="1" applyBorder="1" applyAlignment="1" applyProtection="1">
      <alignment vertical="center" wrapText="1"/>
    </xf>
    <xf numFmtId="6" fontId="1" fillId="2" borderId="0" xfId="0" applyNumberFormat="1" applyFont="1" applyFill="1" applyBorder="1" applyAlignment="1" applyProtection="1">
      <alignment horizontal="left" vertical="center" wrapText="1"/>
    </xf>
    <xf numFmtId="3" fontId="1" fillId="2" borderId="0" xfId="0" applyNumberFormat="1" applyFont="1" applyFill="1" applyBorder="1" applyAlignment="1" applyProtection="1">
      <alignment horizontal="center" vertical="center" wrapText="1"/>
    </xf>
    <xf numFmtId="2" fontId="1" fillId="2" borderId="0" xfId="0" applyNumberFormat="1" applyFont="1" applyFill="1" applyBorder="1" applyAlignment="1" applyProtection="1">
      <alignment horizontal="center" vertical="center" wrapText="1"/>
    </xf>
    <xf numFmtId="165" fontId="1" fillId="2" borderId="0" xfId="0" applyNumberFormat="1" applyFont="1" applyFill="1" applyBorder="1" applyAlignment="1" applyProtection="1">
      <alignment horizontal="center" vertical="center" wrapText="1"/>
    </xf>
    <xf numFmtId="165" fontId="1" fillId="2" borderId="6" xfId="0" applyNumberFormat="1" applyFont="1" applyFill="1" applyBorder="1" applyAlignment="1" applyProtection="1">
      <alignment horizontal="center" vertical="center" wrapText="1"/>
    </xf>
    <xf numFmtId="0" fontId="0" fillId="0" borderId="20" xfId="0" applyFont="1" applyBorder="1" applyAlignment="1" applyProtection="1">
      <alignment vertical="center" wrapText="1"/>
    </xf>
    <xf numFmtId="0" fontId="0" fillId="0" borderId="14" xfId="0" applyFont="1" applyBorder="1" applyAlignment="1" applyProtection="1">
      <alignment horizontal="left" vertical="center" wrapText="1"/>
    </xf>
    <xf numFmtId="3" fontId="0" fillId="0" borderId="14" xfId="0" applyNumberFormat="1" applyFont="1" applyBorder="1" applyAlignment="1" applyProtection="1">
      <alignment horizontal="center" vertical="center" wrapText="1"/>
    </xf>
    <xf numFmtId="2" fontId="0" fillId="0" borderId="14" xfId="0" applyNumberFormat="1" applyFont="1" applyBorder="1" applyAlignment="1" applyProtection="1">
      <alignment horizontal="center" vertical="center" wrapText="1"/>
    </xf>
    <xf numFmtId="165" fontId="0" fillId="0" borderId="14" xfId="0" applyNumberFormat="1" applyFont="1" applyBorder="1" applyAlignment="1" applyProtection="1">
      <alignment horizontal="center" vertical="center" wrapText="1"/>
    </xf>
    <xf numFmtId="165" fontId="0" fillId="0" borderId="21" xfId="0" applyNumberFormat="1" applyFont="1" applyBorder="1" applyAlignment="1" applyProtection="1">
      <alignment horizontal="center" vertical="center" wrapText="1"/>
    </xf>
    <xf numFmtId="0" fontId="3" fillId="2" borderId="5" xfId="0" applyFont="1" applyFill="1" applyBorder="1" applyAlignment="1" applyProtection="1">
      <alignment vertical="center" wrapText="1"/>
    </xf>
    <xf numFmtId="9" fontId="3" fillId="2" borderId="0" xfId="0" applyNumberFormat="1" applyFont="1" applyFill="1" applyBorder="1" applyAlignment="1" applyProtection="1">
      <alignment horizontal="center" vertical="center" wrapText="1"/>
    </xf>
    <xf numFmtId="165" fontId="3" fillId="2" borderId="6" xfId="0" applyNumberFormat="1" applyFont="1" applyFill="1" applyBorder="1" applyAlignment="1" applyProtection="1">
      <alignment horizontal="center" vertical="center" wrapText="1"/>
    </xf>
    <xf numFmtId="3" fontId="0" fillId="0" borderId="14" xfId="0" applyNumberFormat="1" applyFont="1" applyBorder="1" applyAlignment="1" applyProtection="1">
      <alignment horizontal="left" vertical="center" wrapText="1"/>
    </xf>
    <xf numFmtId="2" fontId="0" fillId="0" borderId="14" xfId="0" applyNumberFormat="1" applyFont="1" applyBorder="1" applyAlignment="1" applyProtection="1">
      <alignment horizontal="left" vertical="center" wrapText="1"/>
    </xf>
    <xf numFmtId="9" fontId="0" fillId="0" borderId="14" xfId="0" applyNumberFormat="1" applyFont="1" applyBorder="1" applyAlignment="1" applyProtection="1">
      <alignment horizontal="center" vertical="center" wrapText="1"/>
    </xf>
    <xf numFmtId="0" fontId="3" fillId="2" borderId="26" xfId="0" applyFont="1" applyFill="1" applyBorder="1" applyAlignment="1" applyProtection="1">
      <alignment vertical="center" wrapText="1"/>
    </xf>
    <xf numFmtId="9" fontId="3" fillId="2" borderId="27" xfId="0" applyNumberFormat="1" applyFont="1" applyFill="1" applyBorder="1" applyAlignment="1" applyProtection="1">
      <alignment horizontal="center" vertical="center" wrapText="1"/>
    </xf>
    <xf numFmtId="165" fontId="3" fillId="2" borderId="28" xfId="0" applyNumberFormat="1" applyFont="1" applyFill="1" applyBorder="1" applyAlignment="1" applyProtection="1">
      <alignment horizontal="center" vertical="center" wrapText="1"/>
    </xf>
    <xf numFmtId="0" fontId="2" fillId="0" borderId="24" xfId="0" applyFont="1" applyBorder="1" applyAlignment="1" applyProtection="1">
      <alignment vertical="center" wrapText="1"/>
    </xf>
    <xf numFmtId="0" fontId="2" fillId="0" borderId="16" xfId="0" applyFont="1" applyBorder="1" applyAlignment="1" applyProtection="1">
      <alignment horizontal="left" vertical="center" wrapText="1"/>
    </xf>
    <xf numFmtId="3" fontId="2" fillId="0" borderId="16" xfId="0" applyNumberFormat="1" applyFont="1" applyBorder="1" applyAlignment="1" applyProtection="1">
      <alignment horizontal="left" vertical="center" wrapText="1"/>
    </xf>
    <xf numFmtId="2" fontId="2" fillId="0" borderId="16" xfId="0" applyNumberFormat="1" applyFont="1" applyBorder="1" applyAlignment="1" applyProtection="1">
      <alignment horizontal="left" vertical="center" wrapText="1"/>
    </xf>
    <xf numFmtId="9" fontId="2" fillId="0" borderId="16" xfId="0" applyNumberFormat="1" applyFont="1" applyBorder="1" applyAlignment="1" applyProtection="1">
      <alignment horizontal="center" vertical="center" wrapText="1"/>
    </xf>
    <xf numFmtId="165" fontId="2" fillId="0" borderId="25" xfId="0" applyNumberFormat="1" applyFont="1" applyBorder="1" applyAlignment="1" applyProtection="1">
      <alignment horizontal="center" vertical="center" wrapText="1"/>
    </xf>
    <xf numFmtId="164" fontId="3" fillId="2" borderId="6" xfId="0" applyNumberFormat="1" applyFont="1" applyFill="1" applyBorder="1" applyAlignment="1" applyProtection="1">
      <alignment horizontal="center" vertical="center" wrapText="1"/>
    </xf>
    <xf numFmtId="0" fontId="3" fillId="2" borderId="22" xfId="0" applyFont="1" applyFill="1" applyBorder="1" applyAlignment="1" applyProtection="1">
      <alignment vertical="center" wrapText="1"/>
    </xf>
    <xf numFmtId="9" fontId="3" fillId="2" borderId="15" xfId="0" applyNumberFormat="1" applyFont="1" applyFill="1" applyBorder="1" applyAlignment="1" applyProtection="1">
      <alignment horizontal="center" vertical="center" wrapText="1"/>
    </xf>
    <xf numFmtId="165" fontId="3" fillId="2" borderId="23" xfId="0" applyNumberFormat="1" applyFont="1" applyFill="1" applyBorder="1" applyAlignment="1" applyProtection="1">
      <alignment horizontal="center" vertical="center" wrapText="1"/>
    </xf>
    <xf numFmtId="0" fontId="0" fillId="0" borderId="5" xfId="0" applyFont="1" applyBorder="1" applyAlignment="1" applyProtection="1">
      <alignment vertical="center" wrapText="1"/>
    </xf>
    <xf numFmtId="0" fontId="0" fillId="0" borderId="0" xfId="0" applyFont="1" applyBorder="1" applyAlignment="1" applyProtection="1">
      <alignment horizontal="left" vertical="center" wrapText="1"/>
    </xf>
    <xf numFmtId="3" fontId="0" fillId="0" borderId="0" xfId="0" applyNumberFormat="1" applyFont="1" applyBorder="1" applyAlignment="1" applyProtection="1">
      <alignment horizontal="center" vertical="center" wrapText="1"/>
    </xf>
    <xf numFmtId="2" fontId="0" fillId="0" borderId="0" xfId="0" applyNumberFormat="1" applyFont="1" applyBorder="1" applyAlignment="1" applyProtection="1">
      <alignment horizontal="center" vertical="center" wrapText="1"/>
    </xf>
    <xf numFmtId="165" fontId="0" fillId="0" borderId="6" xfId="0" applyNumberFormat="1" applyFont="1" applyBorder="1" applyAlignment="1" applyProtection="1">
      <alignment horizontal="center" vertical="center" wrapText="1"/>
    </xf>
    <xf numFmtId="0" fontId="2" fillId="0" borderId="9" xfId="0" applyFont="1" applyBorder="1" applyAlignment="1" applyProtection="1">
      <alignment vertical="center" wrapText="1"/>
    </xf>
    <xf numFmtId="0" fontId="2" fillId="0" borderId="7" xfId="0" applyFont="1" applyBorder="1" applyAlignment="1" applyProtection="1">
      <alignment horizontal="left" vertical="center" wrapText="1"/>
    </xf>
    <xf numFmtId="3" fontId="2" fillId="0" borderId="7" xfId="0" applyNumberFormat="1" applyFont="1" applyBorder="1" applyAlignment="1" applyProtection="1">
      <alignment horizontal="center" vertical="center" wrapText="1"/>
    </xf>
    <xf numFmtId="2" fontId="2" fillId="0" borderId="7" xfId="0" applyNumberFormat="1" applyFont="1" applyBorder="1" applyAlignment="1" applyProtection="1">
      <alignment horizontal="center" vertical="center" wrapText="1"/>
    </xf>
    <xf numFmtId="165" fontId="2" fillId="0" borderId="7" xfId="0" applyNumberFormat="1" applyFont="1" applyBorder="1" applyAlignment="1" applyProtection="1">
      <alignment horizontal="center" vertical="center" wrapText="1"/>
    </xf>
    <xf numFmtId="165" fontId="2" fillId="0" borderId="8" xfId="0" applyNumberFormat="1" applyFont="1" applyBorder="1" applyAlignment="1" applyProtection="1">
      <alignment horizontal="center" vertical="center" wrapText="1"/>
    </xf>
    <xf numFmtId="3" fontId="3" fillId="2" borderId="3" xfId="0" applyNumberFormat="1" applyFont="1" applyFill="1" applyBorder="1" applyAlignment="1">
      <alignment horizontal="center" vertical="center" wrapText="1"/>
    </xf>
    <xf numFmtId="3" fontId="8" fillId="4" borderId="0" xfId="0" applyNumberFormat="1" applyFont="1" applyFill="1" applyBorder="1" applyAlignment="1">
      <alignment horizontal="center" vertical="center" wrapText="1"/>
    </xf>
    <xf numFmtId="0" fontId="0" fillId="4" borderId="0" xfId="0" quotePrefix="1" applyFont="1" applyFill="1" applyBorder="1" applyAlignment="1">
      <alignment horizontal="center" vertical="center"/>
    </xf>
    <xf numFmtId="165" fontId="7" fillId="4" borderId="6" xfId="0" applyNumberFormat="1" applyFont="1" applyFill="1" applyBorder="1" applyAlignment="1">
      <alignment horizontal="center" vertical="center" wrapText="1"/>
    </xf>
    <xf numFmtId="164" fontId="7" fillId="4" borderId="6" xfId="0" applyNumberFormat="1" applyFont="1" applyFill="1" applyBorder="1" applyAlignment="1">
      <alignment horizontal="center" vertical="center" wrapText="1"/>
    </xf>
    <xf numFmtId="165" fontId="2" fillId="4" borderId="8" xfId="0" applyNumberFormat="1" applyFont="1" applyFill="1" applyBorder="1" applyAlignment="1">
      <alignment horizontal="center" vertical="center" wrapText="1"/>
    </xf>
    <xf numFmtId="165" fontId="12" fillId="4" borderId="43" xfId="1" quotePrefix="1" applyNumberFormat="1" applyFill="1" applyBorder="1" applyAlignment="1">
      <alignment horizontal="center" vertical="center"/>
    </xf>
    <xf numFmtId="165" fontId="12" fillId="0" borderId="0" xfId="1" quotePrefix="1" applyNumberFormat="1" applyFill="1" applyBorder="1" applyAlignment="1">
      <alignment horizontal="center" vertical="center"/>
    </xf>
    <xf numFmtId="3" fontId="7" fillId="0" borderId="0" xfId="1" applyNumberFormat="1" applyFont="1" applyFill="1" applyBorder="1" applyAlignment="1">
      <alignment horizontal="center" vertical="center" wrapText="1"/>
    </xf>
    <xf numFmtId="166" fontId="7" fillId="4" borderId="0" xfId="1" applyNumberFormat="1" applyFont="1" applyFill="1" applyBorder="1" applyAlignment="1" applyProtection="1">
      <alignment horizontal="center" vertical="center" wrapText="1"/>
    </xf>
    <xf numFmtId="3" fontId="7" fillId="4" borderId="0" xfId="1" applyNumberFormat="1" applyFont="1" applyFill="1" applyBorder="1" applyAlignment="1">
      <alignment horizontal="center" vertical="center" wrapText="1"/>
    </xf>
    <xf numFmtId="165" fontId="7" fillId="0" borderId="0" xfId="1" quotePrefix="1" applyNumberFormat="1" applyFont="1" applyFill="1" applyBorder="1" applyAlignment="1" applyProtection="1">
      <alignment horizontal="center" vertical="center"/>
    </xf>
    <xf numFmtId="165" fontId="0" fillId="0" borderId="0" xfId="0" quotePrefix="1" applyNumberFormat="1" applyFont="1" applyFill="1" applyBorder="1" applyAlignment="1" applyProtection="1">
      <alignment horizontal="center" vertical="center"/>
    </xf>
    <xf numFmtId="0" fontId="3" fillId="2" borderId="15" xfId="0" applyFont="1" applyFill="1" applyBorder="1" applyAlignment="1" applyProtection="1">
      <alignment horizontal="left" vertical="center" wrapText="1"/>
    </xf>
    <xf numFmtId="0" fontId="3" fillId="2" borderId="27" xfId="0" applyFont="1" applyFill="1" applyBorder="1" applyAlignment="1" applyProtection="1">
      <alignment horizontal="left" vertical="center" wrapText="1"/>
    </xf>
    <xf numFmtId="166" fontId="12" fillId="3" borderId="38" xfId="1" applyNumberFormat="1" applyAlignment="1" applyProtection="1">
      <alignment horizontal="center" vertical="center" wrapText="1"/>
      <protection locked="0"/>
    </xf>
    <xf numFmtId="3" fontId="12" fillId="3" borderId="38" xfId="1" applyNumberFormat="1" applyAlignment="1" applyProtection="1">
      <alignment horizontal="center" vertical="center" wrapText="1"/>
      <protection locked="0"/>
    </xf>
    <xf numFmtId="0" fontId="12" fillId="3" borderId="38" xfId="1" quotePrefix="1" applyAlignment="1" applyProtection="1">
      <alignment horizontal="center" vertical="center"/>
      <protection locked="0"/>
    </xf>
    <xf numFmtId="3" fontId="12" fillId="3" borderId="38" xfId="1" quotePrefix="1" applyNumberFormat="1" applyAlignment="1" applyProtection="1">
      <alignment horizontal="center" vertical="center"/>
      <protection locked="0"/>
    </xf>
    <xf numFmtId="0" fontId="12" fillId="3" borderId="38" xfId="1" quotePrefix="1" applyAlignment="1">
      <alignment horizontal="center" vertical="center" wrapText="1"/>
    </xf>
    <xf numFmtId="165" fontId="12" fillId="3" borderId="38" xfId="1" quotePrefix="1" applyNumberFormat="1" applyAlignment="1" applyProtection="1">
      <alignment horizontal="center" vertical="center"/>
      <protection locked="0"/>
    </xf>
    <xf numFmtId="0" fontId="12" fillId="3" borderId="38" xfId="1" applyAlignment="1" applyProtection="1">
      <alignment horizontal="center" vertical="center"/>
      <protection locked="0"/>
    </xf>
    <xf numFmtId="3" fontId="12" fillId="3" borderId="38" xfId="1" applyNumberFormat="1" applyAlignment="1" applyProtection="1">
      <alignment horizontal="center" vertical="center"/>
      <protection locked="0"/>
    </xf>
    <xf numFmtId="1" fontId="12" fillId="3" borderId="38" xfId="1" applyNumberFormat="1" applyAlignment="1" applyProtection="1">
      <alignment horizontal="center" vertical="center"/>
      <protection locked="0"/>
    </xf>
    <xf numFmtId="2" fontId="12" fillId="3" borderId="38" xfId="1" applyNumberFormat="1" applyAlignment="1" applyProtection="1">
      <alignment horizontal="center" vertical="center" wrapText="1"/>
      <protection locked="0"/>
    </xf>
    <xf numFmtId="2" fontId="12" fillId="3" borderId="38" xfId="1" quotePrefix="1" applyNumberFormat="1" applyAlignment="1" applyProtection="1">
      <alignment horizontal="center" vertical="center"/>
      <protection locked="0"/>
    </xf>
    <xf numFmtId="0" fontId="12" fillId="3" borderId="38" xfId="1" quotePrefix="1" applyAlignment="1" applyProtection="1">
      <alignment horizontal="left" vertical="center"/>
      <protection locked="0"/>
    </xf>
    <xf numFmtId="6" fontId="12" fillId="3" borderId="38" xfId="1" applyNumberFormat="1" applyAlignment="1" applyProtection="1">
      <alignment horizontal="left" vertical="center" wrapText="1"/>
      <protection locked="0"/>
    </xf>
    <xf numFmtId="165" fontId="12" fillId="3" borderId="38" xfId="1" quotePrefix="1" applyNumberFormat="1" applyAlignment="1" applyProtection="1">
      <alignment horizontal="center" vertical="center"/>
    </xf>
    <xf numFmtId="2" fontId="0" fillId="0" borderId="0" xfId="0" quotePrefix="1" applyNumberFormat="1" applyAlignment="1">
      <alignment horizontal="left" vertical="center" wrapText="1"/>
    </xf>
    <xf numFmtId="165" fontId="12" fillId="3" borderId="38" xfId="1" applyNumberFormat="1" applyAlignment="1" applyProtection="1">
      <alignment horizontal="center" vertical="center"/>
      <protection locked="0"/>
    </xf>
    <xf numFmtId="165" fontId="10" fillId="0" borderId="0" xfId="0" quotePrefix="1" applyNumberFormat="1" applyFont="1" applyAlignment="1">
      <alignment horizontal="center" vertical="center"/>
    </xf>
    <xf numFmtId="0" fontId="12" fillId="3" borderId="38" xfId="1" quotePrefix="1" applyAlignment="1" applyProtection="1">
      <alignment horizontal="center" vertical="center" wrapText="1"/>
    </xf>
    <xf numFmtId="0" fontId="0" fillId="0" borderId="0" xfId="0" quotePrefix="1" applyAlignment="1" applyProtection="1">
      <alignment vertical="top" wrapText="1"/>
    </xf>
    <xf numFmtId="166" fontId="12" fillId="3" borderId="38" xfId="1" applyNumberFormat="1" applyAlignment="1" applyProtection="1">
      <alignment horizontal="center" vertical="center" wrapText="1"/>
    </xf>
    <xf numFmtId="3" fontId="12" fillId="3" borderId="38" xfId="1" applyNumberFormat="1" applyAlignment="1" applyProtection="1">
      <alignment horizontal="center" vertical="center" wrapText="1"/>
    </xf>
    <xf numFmtId="3" fontId="8" fillId="0" borderId="0" xfId="0" applyNumberFormat="1" applyFont="1" applyAlignment="1" applyProtection="1">
      <alignment horizontal="center" vertical="center" wrapText="1"/>
    </xf>
    <xf numFmtId="165" fontId="3" fillId="2" borderId="0" xfId="0" applyNumberFormat="1" applyFont="1" applyFill="1" applyBorder="1" applyAlignment="1" applyProtection="1">
      <alignment horizontal="center" vertical="center" wrapText="1"/>
    </xf>
    <xf numFmtId="1" fontId="0" fillId="0" borderId="0" xfId="0" quotePrefix="1" applyNumberFormat="1" applyFont="1" applyBorder="1" applyAlignment="1" applyProtection="1">
      <alignment horizontal="center" vertical="center"/>
    </xf>
    <xf numFmtId="0" fontId="3" fillId="2" borderId="0" xfId="0" applyFont="1" applyFill="1" applyBorder="1" applyAlignment="1" applyProtection="1">
      <alignment horizontal="center" vertical="center" wrapText="1"/>
    </xf>
    <xf numFmtId="2" fontId="3" fillId="2" borderId="0" xfId="0" applyNumberFormat="1" applyFont="1" applyFill="1" applyBorder="1" applyAlignment="1" applyProtection="1">
      <alignment horizontal="center" vertical="center" wrapText="1"/>
    </xf>
    <xf numFmtId="165" fontId="0" fillId="2" borderId="6" xfId="0" quotePrefix="1" applyNumberFormat="1" applyFill="1" applyBorder="1" applyAlignment="1" applyProtection="1">
      <alignment horizontal="center" vertical="center"/>
    </xf>
    <xf numFmtId="165" fontId="0" fillId="0" borderId="6" xfId="0" quotePrefix="1" applyNumberFormat="1" applyBorder="1" applyAlignment="1" applyProtection="1">
      <alignment horizontal="center" vertical="center"/>
    </xf>
    <xf numFmtId="1" fontId="0" fillId="0" borderId="5" xfId="0" applyNumberFormat="1" applyBorder="1" applyAlignment="1" applyProtection="1">
      <alignment horizontal="left" vertical="center" wrapText="1"/>
    </xf>
    <xf numFmtId="165" fontId="8" fillId="0" borderId="6" xfId="0" applyNumberFormat="1" applyFont="1" applyBorder="1" applyAlignment="1" applyProtection="1">
      <alignment horizontal="center" vertical="center" wrapText="1"/>
    </xf>
    <xf numFmtId="0" fontId="12" fillId="3" borderId="38" xfId="1" applyAlignment="1" applyProtection="1">
      <alignment horizontal="left" vertical="center" wrapText="1"/>
    </xf>
    <xf numFmtId="165" fontId="10" fillId="0" borderId="0" xfId="0" quotePrefix="1" applyNumberFormat="1" applyFont="1" applyAlignment="1" applyProtection="1">
      <alignment horizontal="center" vertical="center"/>
    </xf>
    <xf numFmtId="0" fontId="0" fillId="0" borderId="0" xfId="0" applyAlignment="1" applyProtection="1">
      <alignment horizontal="left" vertical="center" wrapText="1"/>
    </xf>
    <xf numFmtId="3" fontId="0" fillId="0" borderId="0" xfId="0" applyNumberFormat="1" applyAlignment="1" applyProtection="1">
      <alignment horizontal="center" vertical="center" wrapText="1"/>
    </xf>
    <xf numFmtId="165" fontId="0" fillId="0" borderId="0" xfId="0" applyNumberFormat="1" applyAlignment="1" applyProtection="1">
      <alignment horizontal="center" vertical="center" wrapText="1"/>
    </xf>
    <xf numFmtId="0" fontId="4" fillId="0" borderId="30" xfId="0" applyFont="1" applyFill="1" applyBorder="1" applyAlignment="1" applyProtection="1">
      <alignment vertical="center" wrapText="1"/>
    </xf>
    <xf numFmtId="0" fontId="4" fillId="0" borderId="29" xfId="0" applyFont="1" applyFill="1" applyBorder="1" applyAlignment="1" applyProtection="1">
      <alignmen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center" vertical="center" wrapText="1"/>
    </xf>
    <xf numFmtId="0" fontId="8" fillId="0" borderId="0" xfId="0" applyFont="1" applyFill="1" applyBorder="1" applyAlignment="1" applyProtection="1">
      <alignment vertical="center" wrapText="1"/>
    </xf>
    <xf numFmtId="0" fontId="3" fillId="2" borderId="18" xfId="0" applyFont="1" applyFill="1" applyBorder="1" applyAlignment="1" applyProtection="1">
      <alignment horizontal="left" vertical="center" wrapText="1"/>
    </xf>
    <xf numFmtId="3" fontId="3" fillId="2" borderId="3" xfId="0" applyNumberFormat="1" applyFont="1" applyFill="1" applyBorder="1" applyAlignment="1" applyProtection="1">
      <alignment horizontal="center" vertical="center" wrapText="1"/>
    </xf>
    <xf numFmtId="165" fontId="3" fillId="2" borderId="18"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3" fontId="12" fillId="0" borderId="0" xfId="1" applyNumberFormat="1" applyFill="1" applyBorder="1" applyAlignment="1" applyProtection="1">
      <alignment horizontal="center" vertical="center" wrapText="1"/>
    </xf>
    <xf numFmtId="165" fontId="8" fillId="0" borderId="0" xfId="0" applyNumberFormat="1" applyFont="1" applyFill="1" applyBorder="1" applyAlignment="1" applyProtection="1">
      <alignment horizontal="center" vertical="center" wrapText="1"/>
    </xf>
    <xf numFmtId="0" fontId="0" fillId="0" borderId="0" xfId="0" applyAlignment="1" applyProtection="1">
      <alignment horizontal="left" vertical="center"/>
    </xf>
    <xf numFmtId="0" fontId="0" fillId="0" borderId="0" xfId="0" quotePrefix="1" applyAlignment="1" applyProtection="1">
      <alignment horizontal="left" vertical="center"/>
    </xf>
    <xf numFmtId="0" fontId="7" fillId="0" borderId="20" xfId="0" quotePrefix="1" applyFont="1" applyBorder="1" applyAlignment="1" applyProtection="1">
      <alignment horizontal="left" vertical="center"/>
    </xf>
    <xf numFmtId="0" fontId="0" fillId="0" borderId="14" xfId="0" quotePrefix="1" applyFont="1" applyBorder="1" applyAlignment="1" applyProtection="1">
      <alignment horizontal="left" vertical="center"/>
    </xf>
    <xf numFmtId="165" fontId="0" fillId="0" borderId="14" xfId="0" quotePrefix="1" applyNumberFormat="1" applyFont="1" applyBorder="1" applyAlignment="1" applyProtection="1">
      <alignment horizontal="center" vertical="center"/>
    </xf>
    <xf numFmtId="165" fontId="8" fillId="0" borderId="21" xfId="0" applyNumberFormat="1" applyFont="1" applyFill="1" applyBorder="1" applyAlignment="1" applyProtection="1">
      <alignment horizontal="center" vertical="center" wrapText="1"/>
    </xf>
    <xf numFmtId="0" fontId="9" fillId="0" borderId="20" xfId="0" quotePrefix="1" applyFont="1" applyBorder="1" applyAlignment="1" applyProtection="1">
      <alignment horizontal="left" vertical="center"/>
    </xf>
    <xf numFmtId="3" fontId="0" fillId="0" borderId="14" xfId="0" quotePrefix="1" applyNumberFormat="1" applyFont="1" applyBorder="1" applyAlignment="1" applyProtection="1">
      <alignment horizontal="center" vertical="center"/>
    </xf>
    <xf numFmtId="167" fontId="0" fillId="0" borderId="14" xfId="0" quotePrefix="1" applyNumberFormat="1" applyFont="1" applyBorder="1" applyAlignment="1" applyProtection="1">
      <alignment horizontal="center" vertical="center"/>
    </xf>
    <xf numFmtId="165" fontId="0" fillId="0" borderId="21" xfId="0" quotePrefix="1" applyNumberFormat="1" applyFont="1" applyBorder="1" applyAlignment="1" applyProtection="1">
      <alignment horizontal="center" vertical="center"/>
    </xf>
    <xf numFmtId="0" fontId="9" fillId="0" borderId="5" xfId="0" quotePrefix="1" applyFont="1" applyBorder="1" applyAlignment="1" applyProtection="1">
      <alignment horizontal="left" vertical="center"/>
    </xf>
    <xf numFmtId="167" fontId="0" fillId="0" borderId="0" xfId="0" quotePrefix="1" applyNumberFormat="1" applyFont="1" applyBorder="1" applyAlignment="1" applyProtection="1">
      <alignment horizontal="center" vertical="center"/>
    </xf>
    <xf numFmtId="2" fontId="0" fillId="0" borderId="0" xfId="0" quotePrefix="1" applyNumberFormat="1" applyFont="1" applyBorder="1" applyAlignment="1" applyProtection="1">
      <alignment horizontal="center" vertical="center"/>
    </xf>
    <xf numFmtId="3" fontId="12" fillId="0" borderId="44" xfId="1" quotePrefix="1" applyNumberFormat="1" applyFill="1" applyBorder="1" applyAlignment="1" applyProtection="1">
      <alignment horizontal="center" vertical="center"/>
    </xf>
    <xf numFmtId="0" fontId="3" fillId="2" borderId="1" xfId="0" applyFont="1" applyFill="1" applyBorder="1" applyAlignment="1" applyProtection="1">
      <alignment horizontal="left" vertical="center" wrapText="1"/>
    </xf>
    <xf numFmtId="3" fontId="3" fillId="2" borderId="0" xfId="0" applyNumberFormat="1" applyFont="1" applyFill="1" applyBorder="1" applyAlignment="1" applyProtection="1">
      <alignment horizontal="center" vertical="center" wrapText="1"/>
    </xf>
    <xf numFmtId="0" fontId="0" fillId="0" borderId="5" xfId="0" quotePrefix="1" applyFont="1" applyBorder="1" applyAlignment="1" applyProtection="1">
      <alignment horizontal="left" vertical="center"/>
    </xf>
    <xf numFmtId="0" fontId="0" fillId="0" borderId="20" xfId="0" quotePrefix="1" applyFont="1" applyBorder="1" applyAlignment="1" applyProtection="1">
      <alignment horizontal="left" vertical="center"/>
    </xf>
    <xf numFmtId="0" fontId="0" fillId="0" borderId="14" xfId="0" quotePrefix="1" applyFont="1" applyBorder="1" applyAlignment="1" applyProtection="1">
      <alignment horizontal="center" vertical="center"/>
    </xf>
    <xf numFmtId="165" fontId="0" fillId="2" borderId="6" xfId="0" applyNumberFormat="1" applyFont="1" applyFill="1" applyBorder="1" applyAlignment="1" applyProtection="1">
      <alignment horizontal="center" vertical="center" wrapText="1"/>
    </xf>
    <xf numFmtId="6" fontId="0" fillId="0" borderId="0" xfId="0" applyNumberFormat="1" applyFont="1" applyBorder="1" applyAlignment="1" applyProtection="1">
      <alignment horizontal="left" vertical="center" wrapText="1"/>
    </xf>
    <xf numFmtId="0" fontId="0" fillId="0" borderId="22" xfId="0" applyFont="1" applyBorder="1" applyAlignment="1" applyProtection="1">
      <alignment vertical="center" wrapText="1"/>
    </xf>
    <xf numFmtId="2" fontId="0" fillId="0" borderId="15" xfId="0" applyNumberFormat="1" applyFont="1" applyBorder="1" applyAlignment="1" applyProtection="1">
      <alignment horizontal="center" vertical="center" wrapText="1"/>
    </xf>
    <xf numFmtId="165" fontId="0" fillId="0" borderId="15" xfId="0" applyNumberFormat="1" applyFont="1" applyBorder="1" applyAlignment="1" applyProtection="1">
      <alignment horizontal="center" vertical="center" wrapText="1"/>
    </xf>
    <xf numFmtId="165" fontId="0" fillId="0" borderId="23" xfId="0" applyNumberFormat="1" applyFont="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3" fontId="3" fillId="2" borderId="27" xfId="0" applyNumberFormat="1" applyFont="1" applyFill="1" applyBorder="1" applyAlignment="1" applyProtection="1">
      <alignment horizontal="center" vertical="center" wrapText="1"/>
    </xf>
    <xf numFmtId="2" fontId="3" fillId="2" borderId="27" xfId="0" applyNumberFormat="1" applyFont="1" applyFill="1" applyBorder="1" applyAlignment="1" applyProtection="1">
      <alignment horizontal="center" vertical="center" wrapText="1"/>
    </xf>
    <xf numFmtId="3" fontId="2" fillId="0" borderId="16" xfId="0" applyNumberFormat="1" applyFont="1" applyBorder="1" applyAlignment="1" applyProtection="1">
      <alignment horizontal="center" vertical="center" wrapText="1"/>
    </xf>
    <xf numFmtId="2" fontId="2" fillId="0" borderId="16" xfId="0" applyNumberFormat="1" applyFont="1" applyBorder="1" applyAlignment="1" applyProtection="1">
      <alignment horizontal="center" vertical="center" wrapText="1"/>
    </xf>
    <xf numFmtId="3" fontId="3" fillId="2" borderId="15" xfId="0" applyNumberFormat="1" applyFont="1" applyFill="1" applyBorder="1" applyAlignment="1" applyProtection="1">
      <alignment horizontal="center" vertical="center" wrapText="1"/>
    </xf>
    <xf numFmtId="2" fontId="3" fillId="2" borderId="15" xfId="0" applyNumberFormat="1" applyFont="1" applyFill="1" applyBorder="1" applyAlignment="1" applyProtection="1">
      <alignment horizontal="center" vertical="center" wrapText="1"/>
    </xf>
    <xf numFmtId="3" fontId="12" fillId="0" borderId="45" xfId="1" applyNumberFormat="1" applyFill="1" applyBorder="1" applyAlignment="1" applyProtection="1">
      <alignment horizontal="center" vertical="center" wrapText="1"/>
    </xf>
    <xf numFmtId="0" fontId="7" fillId="0" borderId="9"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0" fillId="0" borderId="9" xfId="0" quotePrefix="1" applyBorder="1" applyAlignment="1">
      <alignment horizontal="left" vertical="center" wrapText="1"/>
    </xf>
    <xf numFmtId="0" fontId="0" fillId="0" borderId="7" xfId="0" quotePrefix="1" applyBorder="1" applyAlignment="1">
      <alignment horizontal="left" vertical="center" wrapText="1"/>
    </xf>
    <xf numFmtId="0" fontId="0" fillId="0" borderId="8" xfId="0" quotePrefix="1" applyBorder="1" applyAlignment="1">
      <alignment horizontal="left"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42"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2" fillId="3" borderId="38" xfId="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 fillId="2" borderId="0"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wrapText="1"/>
    </xf>
    <xf numFmtId="0" fontId="0" fillId="0" borderId="0" xfId="0" applyBorder="1" applyAlignment="1">
      <alignment horizontal="left" wrapText="1"/>
    </xf>
    <xf numFmtId="0" fontId="0" fillId="0" borderId="6" xfId="0" applyBorder="1" applyAlignment="1">
      <alignment horizontal="left" wrapText="1"/>
    </xf>
    <xf numFmtId="0" fontId="0" fillId="0" borderId="40" xfId="0" applyFont="1" applyBorder="1" applyAlignment="1">
      <alignment horizontal="center" vertical="center" wrapText="1"/>
    </xf>
    <xf numFmtId="0" fontId="3" fillId="2" borderId="32"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2" fillId="4" borderId="38" xfId="1" applyFill="1" applyAlignment="1">
      <alignment horizontal="center"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15"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2" fillId="3" borderId="38" xfId="1" applyAlignment="1" applyProtection="1">
      <alignment horizontal="center" vertical="center" wrapText="1"/>
      <protection locked="0"/>
    </xf>
    <xf numFmtId="0" fontId="3" fillId="2" borderId="27" xfId="0" applyFont="1" applyFill="1" applyBorder="1" applyAlignment="1" applyProtection="1">
      <alignment horizontal="left" vertical="center" wrapText="1"/>
    </xf>
    <xf numFmtId="0" fontId="3" fillId="2" borderId="31" xfId="0" applyFont="1" applyFill="1" applyBorder="1" applyAlignment="1" applyProtection="1">
      <alignment horizontal="left" vertical="center" wrapText="1"/>
    </xf>
    <xf numFmtId="0" fontId="3" fillId="2" borderId="32" xfId="0" applyFont="1" applyFill="1" applyBorder="1" applyAlignment="1" applyProtection="1">
      <alignment horizontal="left" vertical="center" wrapText="1"/>
    </xf>
    <xf numFmtId="2" fontId="0" fillId="0" borderId="0" xfId="0" applyNumberFormat="1" applyBorder="1" applyAlignment="1">
      <alignment horizontal="left" vertical="center" wrapText="1"/>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9</xdr:col>
      <xdr:colOff>190159</xdr:colOff>
      <xdr:row>13</xdr:row>
      <xdr:rowOff>149684</xdr:rowOff>
    </xdr:from>
    <xdr:to>
      <xdr:col>9</xdr:col>
      <xdr:colOff>190519</xdr:colOff>
      <xdr:row>13</xdr:row>
      <xdr:rowOff>150044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7A0FA10D-22B5-4FB7-A4BE-DA40E14A2DA5}"/>
                </a:ext>
              </a:extLst>
            </xdr14:cNvPr>
            <xdr14:cNvContentPartPr/>
          </xdr14:nvContentPartPr>
          <xdr14:nvPr macro=""/>
          <xdr14:xfrm>
            <a:off x="8542080" y="3699000"/>
            <a:ext cx="360" cy="360"/>
          </xdr14:xfrm>
        </xdr:contentPart>
      </mc:Choice>
      <mc:Fallback xmlns="">
        <xdr:pic>
          <xdr:nvPicPr>
            <xdr:cNvPr id="2" name="Ink 1">
              <a:extLst>
                <a:ext uri="{FF2B5EF4-FFF2-40B4-BE49-F238E27FC236}">
                  <a16:creationId xmlns:a16="http://schemas.microsoft.com/office/drawing/2014/main" id="{7A0FA10D-22B5-4FB7-A4BE-DA40E14A2DA5}"/>
                </a:ext>
              </a:extLst>
            </xdr:cNvPr>
            <xdr:cNvPicPr/>
          </xdr:nvPicPr>
          <xdr:blipFill>
            <a:blip xmlns:r="http://schemas.openxmlformats.org/officeDocument/2006/relationships" r:embed="rId2"/>
            <a:stretch>
              <a:fillRect/>
            </a:stretch>
          </xdr:blipFill>
          <xdr:spPr>
            <a:xfrm>
              <a:off x="8533080" y="3690360"/>
              <a:ext cx="18000" cy="18000"/>
            </a:xfrm>
            <a:prstGeom prst="rect">
              <a:avLst/>
            </a:prstGeom>
          </xdr:spPr>
        </xdr:pic>
      </mc:Fallback>
    </mc:AlternateContent>
    <xdr:clientData/>
  </xdr:twoCellAnchor>
  <xdr:twoCellAnchor editAs="oneCell">
    <xdr:from>
      <xdr:col>8</xdr:col>
      <xdr:colOff>621502</xdr:colOff>
      <xdr:row>14</xdr:row>
      <xdr:rowOff>170204</xdr:rowOff>
    </xdr:from>
    <xdr:to>
      <xdr:col>8</xdr:col>
      <xdr:colOff>625672</xdr:colOff>
      <xdr:row>14</xdr:row>
      <xdr:rowOff>174374</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FE1FF75-7B8A-4A2C-A4F0-C7CC44C5CEE3}"/>
                </a:ext>
              </a:extLst>
            </xdr14:cNvPr>
            <xdr14:cNvContentPartPr/>
          </xdr14:nvContentPartPr>
          <xdr14:nvPr macro=""/>
          <xdr14:xfrm>
            <a:off x="8111160" y="3719520"/>
            <a:ext cx="360" cy="360"/>
          </xdr14:xfrm>
        </xdr:contentPart>
      </mc:Choice>
      <mc:Fallback xmlns="">
        <xdr:pic>
          <xdr:nvPicPr>
            <xdr:cNvPr id="3" name="Ink 2">
              <a:extLst>
                <a:ext uri="{FF2B5EF4-FFF2-40B4-BE49-F238E27FC236}">
                  <a16:creationId xmlns:a16="http://schemas.microsoft.com/office/drawing/2014/main" id="{0FE1FF75-7B8A-4A2C-A4F0-C7CC44C5CEE3}"/>
                </a:ext>
              </a:extLst>
            </xdr:cNvPr>
            <xdr:cNvPicPr/>
          </xdr:nvPicPr>
          <xdr:blipFill>
            <a:blip xmlns:r="http://schemas.openxmlformats.org/officeDocument/2006/relationships" r:embed="rId2"/>
            <a:stretch>
              <a:fillRect/>
            </a:stretch>
          </xdr:blipFill>
          <xdr:spPr>
            <a:xfrm>
              <a:off x="8102160" y="371052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9-16T14:09:53.907"/>
    </inkml:context>
    <inkml:brush xml:id="br0">
      <inkml:brushProperty name="width" value="0.05" units="cm"/>
      <inkml:brushProperty name="height" value="0.05" units="cm"/>
      <inkml:brushProperty name="ignorePressure" value="1"/>
    </inkml:brush>
  </inkml:definitions>
  <inkml:trace contextRef="#ctx0" brushRef="#br0">0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9-16T14:09:54.614"/>
    </inkml:context>
    <inkml:brush xml:id="br0">
      <inkml:brushProperty name="width" value="0.05" units="cm"/>
      <inkml:brushProperty name="height" value="0.05" units="cm"/>
      <inkml:brushProperty name="ignorePressure" value="1"/>
    </inkml:brush>
  </inkml:definitions>
  <inkml:trace contextRef="#ctx0" brushRef="#br0">0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42720-50F2-4726-A0A1-D733337AE3C3}">
  <sheetPr>
    <tabColor rgb="FF00B050"/>
    <pageSetUpPr fitToPage="1"/>
  </sheetPr>
  <dimension ref="A1:X26"/>
  <sheetViews>
    <sheetView tabSelected="1" view="pageBreakPreview" zoomScale="95" zoomScaleNormal="95" zoomScaleSheetLayoutView="95" workbookViewId="0">
      <selection activeCell="H2" sqref="H2"/>
    </sheetView>
  </sheetViews>
  <sheetFormatPr defaultRowHeight="14.4" x14ac:dyDescent="0.3"/>
  <cols>
    <col min="1" max="1" width="22.5546875" style="2" customWidth="1"/>
    <col min="2" max="2" width="27.109375" style="1" customWidth="1"/>
    <col min="3" max="3" width="23.44140625" style="1" customWidth="1"/>
    <col min="4" max="5" width="8.6640625" style="4" customWidth="1"/>
    <col min="6" max="6" width="13.88671875" style="4" customWidth="1"/>
    <col min="7" max="9" width="12.6640625" style="107" customWidth="1"/>
    <col min="10" max="10" width="14.44140625" style="3" bestFit="1" customWidth="1"/>
    <col min="11" max="11" width="12.6640625" style="107" customWidth="1"/>
    <col min="12" max="12" width="10.5546875" style="3" customWidth="1"/>
    <col min="13" max="16" width="12.6640625" style="107" customWidth="1"/>
    <col min="17" max="17" width="14.33203125" style="107" customWidth="1"/>
    <col min="18" max="19" width="12.6640625" style="107" customWidth="1"/>
    <col min="20" max="20" width="15.33203125" style="107" customWidth="1"/>
    <col min="21" max="21" width="12.6640625" style="107" customWidth="1"/>
    <col min="22" max="22" width="12.6640625" style="6" customWidth="1"/>
    <col min="23" max="23" width="23" style="1" customWidth="1"/>
    <col min="25" max="25" width="9.5546875" bestFit="1" customWidth="1"/>
    <col min="26" max="26" width="11.6640625" bestFit="1" customWidth="1"/>
  </cols>
  <sheetData>
    <row r="1" spans="1:24" ht="32.25" customHeight="1" x14ac:dyDescent="0.3">
      <c r="A1" s="347" t="s">
        <v>109</v>
      </c>
      <c r="B1" s="348"/>
      <c r="C1" s="348"/>
      <c r="D1" s="348"/>
      <c r="E1" s="348"/>
      <c r="F1" s="348"/>
      <c r="G1" s="349"/>
      <c r="H1" s="123"/>
      <c r="I1" s="123"/>
      <c r="J1" s="123"/>
      <c r="K1" s="123"/>
      <c r="L1" s="123"/>
      <c r="M1" s="123"/>
      <c r="N1" s="123"/>
      <c r="O1" s="123"/>
      <c r="P1" s="123"/>
      <c r="Q1" s="123"/>
      <c r="R1" s="123"/>
      <c r="S1" s="123"/>
      <c r="T1" s="123"/>
      <c r="U1" s="123"/>
      <c r="V1" s="123"/>
      <c r="W1" s="123"/>
    </row>
    <row r="2" spans="1:24" ht="107.25" customHeight="1" x14ac:dyDescent="0.3">
      <c r="A2" s="350" t="s">
        <v>163</v>
      </c>
      <c r="B2" s="351"/>
      <c r="C2" s="351"/>
      <c r="D2" s="351"/>
      <c r="E2" s="351"/>
      <c r="F2" s="351"/>
      <c r="G2" s="352"/>
      <c r="H2" s="124"/>
      <c r="I2" s="124"/>
      <c r="J2" s="124"/>
      <c r="K2" s="124"/>
      <c r="L2" s="124"/>
      <c r="M2" s="124"/>
      <c r="N2" s="124"/>
      <c r="O2" s="124"/>
      <c r="P2" s="124"/>
      <c r="Q2" s="124"/>
      <c r="R2" s="124"/>
      <c r="S2" s="124"/>
      <c r="T2" s="124"/>
      <c r="U2" s="124"/>
      <c r="V2" s="124"/>
      <c r="W2" s="124"/>
      <c r="X2" s="23"/>
    </row>
    <row r="3" spans="1:24" s="145" customFormat="1" ht="54.6" customHeight="1" x14ac:dyDescent="0.3">
      <c r="A3" s="353" t="s">
        <v>157</v>
      </c>
      <c r="B3" s="354"/>
      <c r="C3" s="354"/>
      <c r="D3" s="354"/>
      <c r="E3" s="354"/>
      <c r="F3" s="354"/>
      <c r="G3" s="355"/>
      <c r="H3" s="143"/>
      <c r="I3" s="143"/>
      <c r="J3" s="143"/>
      <c r="K3" s="143"/>
      <c r="L3" s="143"/>
      <c r="M3" s="143"/>
      <c r="N3" s="143"/>
      <c r="O3" s="143"/>
      <c r="P3" s="143"/>
      <c r="Q3" s="143"/>
      <c r="R3" s="143"/>
      <c r="S3" s="143"/>
      <c r="T3" s="143"/>
      <c r="U3" s="143"/>
      <c r="V3" s="143"/>
      <c r="W3" s="143"/>
      <c r="X3" s="144"/>
    </row>
    <row r="4" spans="1:24" s="145" customFormat="1" ht="40.200000000000003" customHeight="1" x14ac:dyDescent="0.3">
      <c r="A4" s="362" t="s">
        <v>153</v>
      </c>
      <c r="B4" s="362"/>
      <c r="C4" s="362"/>
      <c r="D4" s="362"/>
      <c r="E4" s="362"/>
      <c r="F4" s="362"/>
      <c r="G4" s="362"/>
      <c r="H4" s="143"/>
      <c r="I4" s="143"/>
      <c r="J4" s="143"/>
      <c r="K4" s="143"/>
      <c r="L4" s="143"/>
      <c r="M4" s="143"/>
      <c r="N4" s="143"/>
      <c r="O4" s="143"/>
      <c r="P4" s="143"/>
      <c r="Q4" s="143"/>
      <c r="R4" s="143"/>
      <c r="S4" s="143"/>
      <c r="T4" s="143"/>
      <c r="U4" s="143"/>
      <c r="V4" s="143"/>
      <c r="W4" s="143"/>
      <c r="X4" s="144"/>
    </row>
    <row r="5" spans="1:24" ht="57.6" customHeight="1" x14ac:dyDescent="0.3">
      <c r="A5" s="353" t="s">
        <v>158</v>
      </c>
      <c r="B5" s="354"/>
      <c r="C5" s="354"/>
      <c r="D5" s="354"/>
      <c r="E5" s="354"/>
      <c r="F5" s="354"/>
      <c r="G5" s="355"/>
      <c r="H5" s="124"/>
      <c r="I5" s="124"/>
      <c r="J5" s="124"/>
      <c r="K5" s="124"/>
      <c r="L5" s="124"/>
      <c r="M5" s="124"/>
      <c r="N5" s="124"/>
      <c r="O5" s="124"/>
      <c r="P5" s="124"/>
      <c r="Q5" s="124"/>
      <c r="R5" s="124"/>
      <c r="S5" s="124"/>
      <c r="T5" s="124"/>
      <c r="U5" s="124"/>
      <c r="V5" s="124"/>
      <c r="W5" s="124"/>
    </row>
    <row r="6" spans="1:24" ht="91.95" customHeight="1" thickBot="1" x14ac:dyDescent="0.35">
      <c r="A6" s="356" t="s">
        <v>125</v>
      </c>
      <c r="B6" s="357"/>
      <c r="C6" s="357"/>
      <c r="D6" s="357"/>
      <c r="E6" s="357"/>
      <c r="F6" s="357"/>
      <c r="G6" s="358"/>
      <c r="H6" s="124"/>
      <c r="I6" s="124"/>
      <c r="J6" s="124"/>
      <c r="K6" s="124"/>
      <c r="L6" s="124"/>
      <c r="M6" s="124"/>
      <c r="N6" s="124"/>
      <c r="O6" s="124"/>
      <c r="P6" s="124"/>
      <c r="Q6" s="124"/>
      <c r="R6" s="124"/>
      <c r="S6" s="124"/>
      <c r="T6" s="124"/>
      <c r="U6" s="124"/>
      <c r="V6" s="124"/>
      <c r="W6" s="124"/>
    </row>
    <row r="7" spans="1:24" ht="44.4" customHeight="1" thickBot="1" x14ac:dyDescent="0.35">
      <c r="A7" s="146"/>
      <c r="B7" s="112"/>
      <c r="C7" s="146"/>
      <c r="D7" s="146"/>
      <c r="E7" s="146"/>
      <c r="F7" s="146"/>
      <c r="G7" s="146"/>
      <c r="H7" s="146"/>
      <c r="I7" s="146"/>
      <c r="J7" s="146"/>
      <c r="K7" s="146"/>
      <c r="L7" s="146"/>
      <c r="M7" s="146"/>
      <c r="N7" s="146"/>
      <c r="O7" s="146"/>
      <c r="P7" s="146"/>
      <c r="Q7" s="146"/>
      <c r="R7" s="146"/>
      <c r="S7" s="146"/>
      <c r="T7" s="146"/>
      <c r="U7" s="146"/>
      <c r="V7" s="146"/>
      <c r="W7" s="146"/>
    </row>
    <row r="8" spans="1:24" s="15" customFormat="1" ht="46.2" customHeight="1" x14ac:dyDescent="0.3">
      <c r="A8" s="359" t="s">
        <v>154</v>
      </c>
      <c r="B8" s="360"/>
      <c r="C8" s="360"/>
      <c r="D8" s="360"/>
      <c r="E8" s="360"/>
      <c r="F8" s="360"/>
      <c r="G8" s="361"/>
      <c r="H8" s="133"/>
      <c r="I8" s="133"/>
      <c r="J8" s="133"/>
      <c r="K8" s="133"/>
      <c r="L8" s="133"/>
      <c r="M8" s="133"/>
      <c r="N8" s="133"/>
      <c r="O8" s="133"/>
      <c r="P8" s="133"/>
      <c r="Q8" s="133"/>
      <c r="R8" s="133"/>
      <c r="S8" s="133"/>
      <c r="T8" s="133"/>
      <c r="U8" s="133"/>
      <c r="V8" s="133"/>
      <c r="W8" s="133"/>
      <c r="X8" s="24"/>
    </row>
    <row r="9" spans="1:24" s="15" customFormat="1" ht="64.2" customHeight="1" thickBot="1" x14ac:dyDescent="0.35">
      <c r="A9" s="338" t="s">
        <v>159</v>
      </c>
      <c r="B9" s="339"/>
      <c r="C9" s="339"/>
      <c r="D9" s="339"/>
      <c r="E9" s="339"/>
      <c r="F9" s="339"/>
      <c r="G9" s="340"/>
      <c r="H9" s="131"/>
      <c r="I9" s="131"/>
      <c r="J9" s="131"/>
      <c r="K9" s="131"/>
      <c r="L9" s="131"/>
      <c r="M9" s="131"/>
      <c r="N9" s="131"/>
      <c r="O9" s="131"/>
      <c r="P9" s="131"/>
      <c r="Q9" s="131"/>
      <c r="R9" s="131"/>
      <c r="S9" s="131"/>
      <c r="T9" s="131"/>
      <c r="U9" s="131"/>
      <c r="V9" s="131"/>
      <c r="W9" s="131"/>
      <c r="X9" s="24"/>
    </row>
    <row r="10" spans="1:24" ht="68.400000000000006" customHeight="1" x14ac:dyDescent="0.3">
      <c r="A10" s="341" t="s">
        <v>155</v>
      </c>
      <c r="B10" s="342"/>
      <c r="C10" s="342"/>
      <c r="D10" s="342"/>
      <c r="E10" s="342"/>
      <c r="F10" s="342"/>
      <c r="G10" s="343"/>
      <c r="H10" s="25"/>
      <c r="I10" s="25"/>
      <c r="J10" s="25"/>
      <c r="K10" s="25"/>
      <c r="L10" s="25"/>
      <c r="M10" s="25"/>
      <c r="N10" s="25"/>
      <c r="O10" s="25"/>
      <c r="P10" s="25"/>
      <c r="Q10" s="25"/>
      <c r="R10" s="25"/>
      <c r="S10" s="25"/>
      <c r="T10" s="25"/>
      <c r="U10" s="25"/>
      <c r="V10" s="25"/>
      <c r="W10" s="25"/>
      <c r="X10" s="23"/>
    </row>
    <row r="11" spans="1:24" ht="64.95" customHeight="1" thickBot="1" x14ac:dyDescent="0.35">
      <c r="A11" s="344" t="s">
        <v>156</v>
      </c>
      <c r="B11" s="345"/>
      <c r="C11" s="345"/>
      <c r="D11" s="345"/>
      <c r="E11" s="345"/>
      <c r="F11" s="345"/>
      <c r="G11" s="346"/>
      <c r="H11" s="132"/>
      <c r="I11" s="132"/>
      <c r="J11" s="132"/>
      <c r="K11" s="132"/>
      <c r="L11" s="132"/>
      <c r="M11" s="132"/>
      <c r="N11" s="132"/>
      <c r="O11" s="132"/>
      <c r="P11" s="132"/>
      <c r="Q11" s="132"/>
      <c r="R11" s="132"/>
      <c r="S11" s="132"/>
      <c r="T11" s="132"/>
      <c r="U11" s="132"/>
      <c r="V11" s="132"/>
      <c r="W11" s="132"/>
      <c r="X11" s="23"/>
    </row>
    <row r="12" spans="1:24" x14ac:dyDescent="0.3">
      <c r="B12" s="14"/>
      <c r="C12" s="14"/>
      <c r="D12" s="14"/>
      <c r="E12" s="14"/>
      <c r="F12" s="14"/>
      <c r="G12" s="14"/>
      <c r="H12" s="147"/>
      <c r="I12" s="147"/>
      <c r="J12" s="9"/>
      <c r="K12" s="147"/>
      <c r="L12" s="9"/>
      <c r="M12" s="147"/>
      <c r="N12" s="147"/>
      <c r="O12" s="147"/>
      <c r="P12" s="147"/>
      <c r="Q12" s="147"/>
      <c r="R12" s="147"/>
      <c r="S12" s="147"/>
      <c r="T12" s="147"/>
      <c r="U12" s="147"/>
      <c r="V12" s="84"/>
      <c r="W12" s="7"/>
      <c r="X12" s="23"/>
    </row>
    <row r="13" spans="1:24" x14ac:dyDescent="0.3">
      <c r="A13" s="14"/>
      <c r="B13" s="14"/>
      <c r="C13" s="14"/>
      <c r="D13" s="14"/>
      <c r="E13" s="14"/>
      <c r="F13" s="14"/>
      <c r="G13" s="14"/>
      <c r="H13" s="147"/>
      <c r="I13" s="147"/>
      <c r="J13" s="9"/>
      <c r="K13" s="147"/>
      <c r="L13" s="9"/>
      <c r="M13" s="147"/>
      <c r="N13" s="147"/>
      <c r="O13" s="147"/>
      <c r="P13" s="147"/>
      <c r="Q13" s="147"/>
      <c r="R13" s="147"/>
      <c r="S13" s="147"/>
      <c r="T13" s="147"/>
      <c r="U13" s="147"/>
      <c r="V13" s="84"/>
      <c r="W13" s="7"/>
      <c r="X13" s="23"/>
    </row>
    <row r="14" spans="1:24" x14ac:dyDescent="0.3">
      <c r="A14" s="14"/>
      <c r="B14" s="14"/>
      <c r="C14" s="14"/>
      <c r="D14" s="14"/>
      <c r="E14" s="14"/>
      <c r="F14" s="14"/>
      <c r="G14" s="14"/>
      <c r="H14" s="147"/>
      <c r="I14" s="147"/>
      <c r="J14" s="9"/>
      <c r="K14" s="147"/>
      <c r="L14" s="9"/>
      <c r="M14" s="147"/>
      <c r="N14" s="147"/>
      <c r="O14" s="147"/>
      <c r="P14" s="147"/>
      <c r="Q14" s="147"/>
      <c r="R14" s="147"/>
      <c r="S14" s="147"/>
      <c r="T14" s="147"/>
      <c r="U14" s="147"/>
      <c r="V14" s="84"/>
      <c r="W14" s="7"/>
      <c r="X14" s="23"/>
    </row>
    <row r="15" spans="1:24" x14ac:dyDescent="0.3">
      <c r="A15" s="14"/>
      <c r="B15" s="14"/>
      <c r="C15" s="14"/>
      <c r="D15" s="14"/>
      <c r="E15" s="14"/>
      <c r="F15" s="14"/>
      <c r="G15" s="14"/>
    </row>
    <row r="16" spans="1:24" x14ac:dyDescent="0.3">
      <c r="A16" s="14"/>
      <c r="B16" s="14"/>
      <c r="C16" s="14"/>
      <c r="D16" s="14"/>
      <c r="E16" s="14"/>
      <c r="F16" s="14"/>
      <c r="G16" s="14"/>
    </row>
    <row r="17" spans="1:23" x14ac:dyDescent="0.3">
      <c r="A17" s="14"/>
      <c r="B17" s="14"/>
      <c r="C17" s="14"/>
      <c r="D17" s="14"/>
      <c r="E17" s="14"/>
      <c r="F17" s="14"/>
      <c r="G17" s="14"/>
    </row>
    <row r="18" spans="1:23" x14ac:dyDescent="0.3">
      <c r="A18" s="14"/>
      <c r="B18" s="14"/>
      <c r="C18" s="14"/>
      <c r="D18" s="14"/>
      <c r="E18" s="14"/>
      <c r="F18" s="14"/>
      <c r="G18" s="14"/>
    </row>
    <row r="19" spans="1:23" x14ac:dyDescent="0.3">
      <c r="A19" s="14"/>
      <c r="B19" s="14"/>
      <c r="C19" s="14"/>
      <c r="D19" s="14"/>
      <c r="E19" s="14"/>
      <c r="F19" s="14"/>
      <c r="G19" s="14"/>
    </row>
    <row r="20" spans="1:23" s="107" customFormat="1" x14ac:dyDescent="0.3">
      <c r="A20" s="14"/>
      <c r="B20" s="14"/>
      <c r="C20" s="14"/>
      <c r="D20" s="14"/>
      <c r="E20" s="14"/>
      <c r="F20" s="14"/>
      <c r="G20" s="14"/>
      <c r="J20" s="3"/>
      <c r="L20" s="3"/>
      <c r="V20" s="6"/>
      <c r="W20" s="1"/>
    </row>
    <row r="21" spans="1:23" s="107" customFormat="1" x14ac:dyDescent="0.3">
      <c r="A21" s="14"/>
      <c r="B21" s="14"/>
      <c r="C21" s="14"/>
      <c r="D21" s="14"/>
      <c r="E21" s="14"/>
      <c r="F21" s="14"/>
      <c r="G21" s="14"/>
      <c r="J21" s="3"/>
      <c r="L21" s="3"/>
      <c r="V21" s="6"/>
      <c r="W21" s="1"/>
    </row>
    <row r="22" spans="1:23" s="107" customFormat="1" x14ac:dyDescent="0.3">
      <c r="A22" s="14"/>
      <c r="B22" s="14"/>
      <c r="C22" s="14"/>
      <c r="D22" s="14"/>
      <c r="E22" s="14"/>
      <c r="F22" s="14"/>
      <c r="G22" s="14"/>
      <c r="J22" s="3"/>
      <c r="L22" s="3"/>
      <c r="V22" s="6"/>
      <c r="W22" s="1"/>
    </row>
    <row r="23" spans="1:23" s="107" customFormat="1" x14ac:dyDescent="0.3">
      <c r="A23" s="14"/>
      <c r="B23" s="14"/>
      <c r="C23" s="14"/>
      <c r="D23" s="14"/>
      <c r="E23" s="14"/>
      <c r="F23" s="14"/>
      <c r="G23" s="14"/>
      <c r="J23" s="3"/>
      <c r="L23" s="3"/>
      <c r="V23" s="6"/>
      <c r="W23" s="1"/>
    </row>
    <row r="24" spans="1:23" s="107" customFormat="1" x14ac:dyDescent="0.3">
      <c r="A24" s="14"/>
      <c r="B24" s="14"/>
      <c r="C24" s="14"/>
      <c r="D24" s="14"/>
      <c r="E24" s="14"/>
      <c r="F24" s="14"/>
      <c r="G24" s="14"/>
      <c r="J24" s="3"/>
      <c r="L24" s="3"/>
      <c r="V24" s="6"/>
      <c r="W24" s="1"/>
    </row>
    <row r="25" spans="1:23" s="107" customFormat="1" x14ac:dyDescent="0.3">
      <c r="A25" s="14"/>
      <c r="B25" s="14"/>
      <c r="C25" s="14"/>
      <c r="D25" s="14"/>
      <c r="E25" s="14"/>
      <c r="F25" s="14"/>
      <c r="G25" s="14"/>
      <c r="J25" s="3"/>
      <c r="L25" s="3"/>
      <c r="V25" s="6"/>
      <c r="W25" s="1"/>
    </row>
    <row r="26" spans="1:23" x14ac:dyDescent="0.3">
      <c r="A26" s="14"/>
      <c r="B26" s="14"/>
      <c r="C26" s="14"/>
      <c r="D26" s="14"/>
      <c r="E26" s="14"/>
      <c r="F26" s="14"/>
      <c r="G26" s="14"/>
    </row>
  </sheetData>
  <mergeCells count="10">
    <mergeCell ref="A9:G9"/>
    <mergeCell ref="A10:G10"/>
    <mergeCell ref="A11:G11"/>
    <mergeCell ref="A1:G1"/>
    <mergeCell ref="A2:G2"/>
    <mergeCell ref="A5:G5"/>
    <mergeCell ref="A6:G6"/>
    <mergeCell ref="A8:G8"/>
    <mergeCell ref="A4:G4"/>
    <mergeCell ref="A3:G3"/>
  </mergeCells>
  <pageMargins left="0.25" right="0.25" top="0.75" bottom="0.75" header="0.3" footer="0.3"/>
  <pageSetup scale="87" fitToHeight="0" orientation="portrait" r:id="rId1"/>
  <headerFooter>
    <oddHeader>&amp;A</oddHeader>
    <oddFooter>Page &amp;P of &amp;N</oddFooter>
  </headerFooter>
  <rowBreaks count="1" manualBreakCount="1">
    <brk id="7"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736FF-1BEC-4E1E-AAAC-230318E4A532}">
  <sheetPr>
    <pageSetUpPr fitToPage="1"/>
  </sheetPr>
  <dimension ref="A1:AH38"/>
  <sheetViews>
    <sheetView zoomScaleNormal="100" workbookViewId="0">
      <selection activeCell="F22" sqref="F22"/>
    </sheetView>
  </sheetViews>
  <sheetFormatPr defaultRowHeight="14.4" x14ac:dyDescent="0.3"/>
  <cols>
    <col min="1" max="1" width="8.6640625" style="2" customWidth="1"/>
    <col min="2" max="2" width="26" style="1" customWidth="1"/>
    <col min="3" max="3" width="13.44140625" style="4" customWidth="1"/>
    <col min="4" max="4" width="8.6640625" style="4" customWidth="1"/>
    <col min="5" max="5" width="12.33203125" style="3" customWidth="1"/>
    <col min="6" max="6" width="16" style="3" customWidth="1"/>
    <col min="7" max="7" width="12.6640625" style="3" customWidth="1"/>
    <col min="8" max="8" width="14" style="4" customWidth="1"/>
    <col min="9" max="9" width="23.33203125" style="107" customWidth="1"/>
    <col min="10" max="10" width="23.88671875" style="5" customWidth="1"/>
    <col min="11" max="11" width="14" style="5" customWidth="1"/>
    <col min="12" max="16" width="12.6640625" style="5" customWidth="1"/>
    <col min="17" max="17" width="14.44140625" style="3" bestFit="1" customWidth="1"/>
    <col min="18" max="18" width="12.6640625" style="5" customWidth="1"/>
    <col min="19" max="19" width="10.5546875" style="3" customWidth="1"/>
    <col min="20" max="23" width="12.6640625" style="5" customWidth="1"/>
    <col min="24" max="24" width="14.33203125" style="5" customWidth="1"/>
    <col min="25" max="26" width="12.6640625" style="5" customWidth="1"/>
    <col min="27" max="27" width="15.33203125" style="5" customWidth="1"/>
    <col min="28" max="28" width="12.6640625" style="5" customWidth="1"/>
    <col min="29" max="29" width="12.6640625" style="6" customWidth="1"/>
    <col min="30" max="30" width="23" style="1" customWidth="1"/>
    <col min="32" max="32" width="9.5546875" bestFit="1" customWidth="1"/>
    <col min="33" max="33" width="11.6640625" bestFit="1" customWidth="1"/>
  </cols>
  <sheetData>
    <row r="1" spans="1:34" ht="15" thickBot="1" x14ac:dyDescent="0.35">
      <c r="A1" s="154"/>
      <c r="B1" s="155"/>
      <c r="C1" s="156"/>
      <c r="D1" s="157"/>
      <c r="E1" s="158"/>
      <c r="F1" s="158"/>
      <c r="G1" s="158"/>
      <c r="H1" s="156"/>
      <c r="I1" s="11"/>
      <c r="J1" s="22"/>
      <c r="K1" s="22"/>
      <c r="L1" s="11"/>
      <c r="M1" s="11"/>
      <c r="N1" s="22"/>
      <c r="O1" s="11"/>
      <c r="P1" s="11"/>
      <c r="Q1" s="9"/>
      <c r="R1" s="11"/>
      <c r="S1" s="9"/>
      <c r="T1" s="11"/>
      <c r="U1" s="11"/>
      <c r="V1" s="11"/>
      <c r="W1" s="11"/>
      <c r="X1" s="11"/>
      <c r="Y1" s="11"/>
      <c r="Z1" s="11"/>
      <c r="AA1" s="11"/>
      <c r="AB1" s="11"/>
      <c r="AC1" s="21"/>
      <c r="AD1" s="19"/>
      <c r="AF1" s="13"/>
      <c r="AG1" s="12"/>
    </row>
    <row r="2" spans="1:34" ht="63" customHeight="1" x14ac:dyDescent="0.3">
      <c r="A2" s="166"/>
      <c r="B2" s="386" t="s">
        <v>39</v>
      </c>
      <c r="C2" s="387"/>
      <c r="D2" s="387"/>
      <c r="E2" s="387"/>
      <c r="F2" s="387"/>
      <c r="G2" s="388"/>
      <c r="H2" s="166"/>
      <c r="I2" s="262" t="s">
        <v>160</v>
      </c>
      <c r="J2" s="272"/>
      <c r="K2" s="107"/>
      <c r="L2" s="107"/>
      <c r="M2" s="107"/>
      <c r="N2" s="107"/>
      <c r="O2" s="107"/>
      <c r="P2" s="107"/>
      <c r="R2" s="107"/>
      <c r="T2" s="107"/>
      <c r="U2" s="107"/>
      <c r="V2" s="107"/>
      <c r="W2" s="107"/>
      <c r="X2" s="107"/>
      <c r="Y2" s="107"/>
      <c r="Z2" s="107"/>
      <c r="AA2" s="107"/>
      <c r="AB2" s="107"/>
    </row>
    <row r="3" spans="1:34" s="5" customFormat="1" ht="15.75" customHeight="1" thickBot="1" x14ac:dyDescent="0.35">
      <c r="A3" s="166"/>
      <c r="B3" s="389" t="s">
        <v>128</v>
      </c>
      <c r="C3" s="389"/>
      <c r="D3" s="389"/>
      <c r="E3" s="389"/>
      <c r="F3" s="389"/>
      <c r="G3" s="389"/>
      <c r="H3" s="166"/>
      <c r="I3" s="110"/>
      <c r="J3" s="107"/>
      <c r="K3" s="107"/>
      <c r="L3" s="107"/>
      <c r="M3" s="107"/>
      <c r="N3" s="107"/>
      <c r="O3" s="107"/>
      <c r="P3" s="107"/>
      <c r="Q3" s="3"/>
      <c r="R3" s="107"/>
      <c r="S3" s="3"/>
      <c r="T3" s="107"/>
      <c r="U3" s="107"/>
      <c r="V3" s="107"/>
      <c r="W3" s="107"/>
      <c r="X3" s="107"/>
      <c r="Y3" s="107"/>
      <c r="Z3" s="107"/>
      <c r="AA3" s="107"/>
      <c r="AB3" s="107"/>
      <c r="AC3" s="6"/>
      <c r="AD3" s="1"/>
      <c r="AE3"/>
      <c r="AF3"/>
      <c r="AG3"/>
      <c r="AH3"/>
    </row>
    <row r="4" spans="1:34" s="5" customFormat="1" x14ac:dyDescent="0.3">
      <c r="A4" s="166"/>
      <c r="B4" s="171" t="s">
        <v>1</v>
      </c>
      <c r="C4" s="172"/>
      <c r="D4" s="172"/>
      <c r="E4" s="173" t="s">
        <v>2</v>
      </c>
      <c r="F4" s="174"/>
      <c r="G4" s="175"/>
      <c r="H4" s="166"/>
      <c r="I4" s="110"/>
      <c r="J4" s="107"/>
      <c r="K4" s="107"/>
      <c r="L4" s="107"/>
      <c r="M4" s="107"/>
      <c r="N4" s="107"/>
      <c r="O4" s="107"/>
      <c r="P4" s="107"/>
      <c r="Q4" s="3"/>
      <c r="R4" s="107"/>
      <c r="S4" s="3"/>
      <c r="T4" s="107"/>
      <c r="U4" s="107"/>
      <c r="V4" s="107"/>
      <c r="W4" s="107"/>
      <c r="X4" s="107"/>
      <c r="Y4" s="107"/>
      <c r="Z4" s="107"/>
      <c r="AA4" s="107"/>
      <c r="AB4" s="107"/>
      <c r="AC4" s="6"/>
      <c r="AD4" s="1"/>
      <c r="AE4"/>
      <c r="AF4"/>
      <c r="AG4"/>
      <c r="AH4"/>
    </row>
    <row r="5" spans="1:34" s="5" customFormat="1" ht="18.600000000000001" customHeight="1" x14ac:dyDescent="0.3">
      <c r="A5" s="166"/>
      <c r="B5" s="176" t="s">
        <v>3</v>
      </c>
      <c r="C5" s="177" t="s">
        <v>4</v>
      </c>
      <c r="D5" s="178"/>
      <c r="E5" s="151">
        <f>E6*5280</f>
        <v>7920</v>
      </c>
      <c r="F5" s="177"/>
      <c r="G5" s="179"/>
      <c r="H5" s="166"/>
      <c r="I5" s="110"/>
      <c r="J5" s="107"/>
      <c r="K5" s="107"/>
      <c r="L5" s="107"/>
      <c r="M5" s="107"/>
      <c r="N5" s="107"/>
      <c r="O5" s="107"/>
      <c r="P5" s="107"/>
      <c r="Q5" s="3"/>
      <c r="R5" s="107"/>
      <c r="S5" s="3"/>
      <c r="T5" s="107"/>
      <c r="U5" s="107"/>
      <c r="V5" s="107"/>
      <c r="W5" s="107"/>
      <c r="X5" s="107"/>
      <c r="Y5" s="107"/>
      <c r="Z5" s="107"/>
      <c r="AA5" s="107"/>
      <c r="AB5" s="107"/>
      <c r="AC5" s="6"/>
      <c r="AD5" s="1"/>
      <c r="AE5"/>
      <c r="AF5"/>
      <c r="AG5"/>
      <c r="AH5"/>
    </row>
    <row r="6" spans="1:34" s="5" customFormat="1" ht="15.6" x14ac:dyDescent="0.3">
      <c r="A6" s="166"/>
      <c r="B6" s="176" t="s">
        <v>3</v>
      </c>
      <c r="C6" s="177" t="s">
        <v>5</v>
      </c>
      <c r="D6" s="178"/>
      <c r="E6" s="258">
        <v>1.5</v>
      </c>
      <c r="F6" s="177"/>
      <c r="G6" s="179"/>
      <c r="H6" s="166"/>
      <c r="I6" s="110"/>
      <c r="J6" s="107"/>
      <c r="K6" s="107"/>
      <c r="L6" s="107"/>
      <c r="M6" s="107"/>
      <c r="N6" s="107"/>
      <c r="O6" s="107"/>
      <c r="P6" s="107"/>
      <c r="Q6" s="3"/>
      <c r="R6" s="107"/>
      <c r="S6" s="3"/>
      <c r="T6" s="107"/>
      <c r="U6" s="107"/>
      <c r="V6" s="107"/>
      <c r="W6" s="107"/>
      <c r="X6" s="107"/>
      <c r="Y6" s="107"/>
      <c r="Z6" s="107"/>
      <c r="AA6" s="107"/>
      <c r="AB6" s="107"/>
      <c r="AC6" s="6"/>
      <c r="AD6" s="1"/>
      <c r="AE6"/>
      <c r="AF6"/>
      <c r="AG6"/>
      <c r="AH6"/>
    </row>
    <row r="7" spans="1:34" s="5" customFormat="1" ht="15.6" x14ac:dyDescent="0.3">
      <c r="A7" s="166"/>
      <c r="B7" s="180" t="s">
        <v>6</v>
      </c>
      <c r="C7" s="181" t="s">
        <v>7</v>
      </c>
      <c r="D7" s="178"/>
      <c r="E7" s="259">
        <v>12</v>
      </c>
      <c r="F7" s="182"/>
      <c r="G7" s="179"/>
      <c r="H7" s="166"/>
      <c r="I7" s="110"/>
      <c r="J7" s="107"/>
      <c r="K7" s="107"/>
      <c r="L7" s="107"/>
      <c r="M7" s="107"/>
      <c r="N7" s="107"/>
      <c r="O7" s="107"/>
      <c r="P7" s="107"/>
      <c r="Q7" s="3"/>
      <c r="R7" s="107"/>
      <c r="S7" s="3"/>
      <c r="T7" s="107"/>
      <c r="U7" s="107"/>
      <c r="V7" s="107"/>
      <c r="W7" s="107"/>
      <c r="X7" s="107"/>
      <c r="Y7" s="107"/>
      <c r="Z7" s="107"/>
      <c r="AA7" s="107"/>
      <c r="AB7" s="107"/>
      <c r="AC7" s="6"/>
      <c r="AD7" s="1"/>
      <c r="AE7"/>
      <c r="AF7"/>
      <c r="AG7"/>
      <c r="AH7"/>
    </row>
    <row r="8" spans="1:34" s="5" customFormat="1" ht="16.2" customHeight="1" x14ac:dyDescent="0.3">
      <c r="A8" s="166"/>
      <c r="B8" s="183" t="s">
        <v>8</v>
      </c>
      <c r="C8" s="184" t="s">
        <v>4</v>
      </c>
      <c r="D8" s="178"/>
      <c r="E8" s="259">
        <v>40</v>
      </c>
      <c r="F8" s="182"/>
      <c r="G8" s="179"/>
      <c r="H8" s="166"/>
      <c r="I8" s="110"/>
      <c r="J8" s="107"/>
      <c r="K8" s="107"/>
      <c r="L8" s="107"/>
      <c r="M8" s="107"/>
      <c r="N8" s="107"/>
      <c r="O8" s="107"/>
      <c r="P8" s="107"/>
      <c r="Q8" s="3"/>
      <c r="R8" s="107"/>
      <c r="S8" s="3"/>
      <c r="T8" s="107"/>
      <c r="U8" s="107"/>
      <c r="V8" s="107"/>
      <c r="W8" s="107"/>
      <c r="X8" s="107"/>
      <c r="Y8" s="107"/>
      <c r="Z8" s="107"/>
      <c r="AA8" s="107"/>
      <c r="AB8" s="107"/>
      <c r="AC8" s="6"/>
      <c r="AD8" s="1"/>
      <c r="AE8"/>
      <c r="AF8"/>
      <c r="AG8"/>
      <c r="AH8"/>
    </row>
    <row r="9" spans="1:34" s="5" customFormat="1" ht="15.6" x14ac:dyDescent="0.3">
      <c r="A9" s="166"/>
      <c r="B9" s="183"/>
      <c r="C9" s="184"/>
      <c r="D9" s="178"/>
      <c r="E9" s="151"/>
      <c r="F9" s="185"/>
      <c r="G9" s="179"/>
      <c r="H9" s="166"/>
      <c r="I9" s="110"/>
      <c r="J9" s="107"/>
      <c r="K9" s="107"/>
      <c r="L9" s="107"/>
      <c r="M9" s="107"/>
      <c r="N9" s="107"/>
      <c r="O9" s="107"/>
      <c r="P9" s="107"/>
      <c r="Q9" s="3"/>
      <c r="R9" s="107"/>
      <c r="S9" s="3"/>
      <c r="T9" s="107"/>
      <c r="U9" s="107"/>
      <c r="V9" s="107"/>
      <c r="W9" s="107"/>
      <c r="X9" s="107"/>
      <c r="Y9" s="107"/>
      <c r="Z9" s="107"/>
      <c r="AA9" s="107"/>
      <c r="AB9" s="107"/>
      <c r="AC9" s="6"/>
      <c r="AD9" s="1"/>
      <c r="AE9"/>
      <c r="AF9"/>
      <c r="AG9"/>
      <c r="AH9"/>
    </row>
    <row r="10" spans="1:34" s="5" customFormat="1" x14ac:dyDescent="0.3">
      <c r="A10" s="166"/>
      <c r="B10" s="186" t="s">
        <v>9</v>
      </c>
      <c r="C10" s="187"/>
      <c r="D10" s="188"/>
      <c r="E10" s="187" t="s">
        <v>2</v>
      </c>
      <c r="F10" s="189" t="s">
        <v>10</v>
      </c>
      <c r="G10" s="190"/>
      <c r="H10" s="166"/>
      <c r="I10" s="110"/>
      <c r="J10" s="107"/>
      <c r="K10" s="107"/>
      <c r="L10" s="107"/>
      <c r="M10" s="107"/>
      <c r="N10" s="107"/>
      <c r="O10" s="107"/>
      <c r="P10" s="107"/>
      <c r="Q10" s="3"/>
      <c r="R10" s="107"/>
      <c r="S10" s="3"/>
      <c r="T10" s="107"/>
      <c r="U10" s="107"/>
      <c r="V10" s="107"/>
      <c r="W10" s="107"/>
      <c r="X10" s="107"/>
      <c r="Y10" s="107"/>
      <c r="Z10" s="107"/>
      <c r="AA10" s="107"/>
      <c r="AB10" s="107"/>
      <c r="AC10" s="6"/>
      <c r="AD10" s="1"/>
      <c r="AE10"/>
      <c r="AF10"/>
      <c r="AG10"/>
      <c r="AH10"/>
    </row>
    <row r="11" spans="1:34" s="5" customFormat="1" ht="15.6" x14ac:dyDescent="0.3">
      <c r="A11" s="166"/>
      <c r="B11" s="183" t="s">
        <v>33</v>
      </c>
      <c r="C11" s="184" t="s">
        <v>7</v>
      </c>
      <c r="D11" s="178"/>
      <c r="E11" s="151">
        <f>E5/300+E7</f>
        <v>38.4</v>
      </c>
      <c r="F11" s="185">
        <v>500</v>
      </c>
      <c r="G11" s="179">
        <f>E11*F11</f>
        <v>19200</v>
      </c>
      <c r="H11" s="166"/>
      <c r="I11" s="110"/>
      <c r="J11" s="107"/>
      <c r="K11" s="107"/>
      <c r="L11" s="107"/>
      <c r="M11" s="107"/>
      <c r="N11" s="107"/>
      <c r="O11" s="107"/>
      <c r="P11" s="107"/>
      <c r="Q11" s="3"/>
      <c r="R11" s="107"/>
      <c r="S11" s="3"/>
      <c r="T11" s="107"/>
      <c r="U11" s="107"/>
      <c r="V11" s="107"/>
      <c r="W11" s="107"/>
      <c r="X11" s="107"/>
      <c r="Y11" s="107"/>
      <c r="Z11" s="107"/>
      <c r="AA11" s="107"/>
      <c r="AB11" s="107"/>
      <c r="AC11" s="6"/>
      <c r="AD11" s="1"/>
      <c r="AE11"/>
      <c r="AF11"/>
      <c r="AG11"/>
      <c r="AH11"/>
    </row>
    <row r="12" spans="1:34" s="5" customFormat="1" ht="28.8" x14ac:dyDescent="0.3">
      <c r="A12" s="166"/>
      <c r="B12" s="191" t="s">
        <v>12</v>
      </c>
      <c r="C12" s="184" t="s">
        <v>4</v>
      </c>
      <c r="D12" s="178"/>
      <c r="E12" s="151">
        <f>E5-(E7*E8)</f>
        <v>7440</v>
      </c>
      <c r="F12" s="185">
        <v>20</v>
      </c>
      <c r="G12" s="179">
        <f>E12*F12</f>
        <v>148800</v>
      </c>
      <c r="H12" s="166"/>
      <c r="I12" s="110"/>
      <c r="J12" s="107"/>
      <c r="K12" s="107"/>
      <c r="L12" s="107"/>
      <c r="M12" s="107"/>
      <c r="N12" s="107"/>
      <c r="O12" s="107"/>
      <c r="P12" s="107"/>
      <c r="Q12" s="3"/>
      <c r="R12" s="107"/>
      <c r="S12" s="3"/>
      <c r="T12" s="107"/>
      <c r="U12" s="107"/>
      <c r="V12" s="107"/>
      <c r="W12" s="107"/>
      <c r="X12" s="107"/>
      <c r="Y12" s="107"/>
      <c r="Z12" s="107"/>
      <c r="AA12" s="107"/>
      <c r="AB12" s="107"/>
      <c r="AC12" s="6"/>
      <c r="AD12" s="1"/>
      <c r="AE12"/>
      <c r="AF12"/>
      <c r="AG12"/>
      <c r="AH12"/>
    </row>
    <row r="13" spans="1:34" s="5" customFormat="1" ht="43.2" x14ac:dyDescent="0.3">
      <c r="A13" s="166"/>
      <c r="B13" s="191" t="s">
        <v>40</v>
      </c>
      <c r="C13" s="184" t="s">
        <v>4</v>
      </c>
      <c r="D13" s="178"/>
      <c r="E13" s="151">
        <f>E5-(E7*E9)*4.25</f>
        <v>7920</v>
      </c>
      <c r="F13" s="185">
        <v>20</v>
      </c>
      <c r="G13" s="179">
        <f>E13*F13</f>
        <v>158400</v>
      </c>
      <c r="H13" s="166"/>
      <c r="I13" s="110"/>
      <c r="J13" s="107"/>
      <c r="K13" s="107"/>
      <c r="L13" s="107"/>
      <c r="M13" s="107"/>
      <c r="N13" s="107"/>
      <c r="O13" s="107"/>
      <c r="P13" s="107"/>
      <c r="Q13" s="3"/>
      <c r="R13" s="107"/>
      <c r="S13" s="3"/>
      <c r="T13" s="107"/>
      <c r="U13" s="107"/>
      <c r="V13" s="107"/>
      <c r="W13" s="107"/>
      <c r="X13" s="107"/>
      <c r="Y13" s="107"/>
      <c r="Z13" s="107"/>
      <c r="AA13" s="107"/>
      <c r="AB13" s="107"/>
      <c r="AC13" s="6"/>
      <c r="AD13" s="1"/>
      <c r="AE13"/>
      <c r="AF13"/>
      <c r="AG13"/>
      <c r="AH13"/>
    </row>
    <row r="14" spans="1:34" s="5" customFormat="1" ht="28.8" x14ac:dyDescent="0.3">
      <c r="A14" s="166"/>
      <c r="B14" s="191" t="s">
        <v>13</v>
      </c>
      <c r="C14" s="184" t="s">
        <v>4</v>
      </c>
      <c r="D14" s="151"/>
      <c r="E14" s="260">
        <v>0</v>
      </c>
      <c r="F14" s="185">
        <v>20</v>
      </c>
      <c r="G14" s="179">
        <f>E14*F14</f>
        <v>0</v>
      </c>
      <c r="H14" s="166"/>
      <c r="I14" s="110"/>
      <c r="J14" s="107"/>
      <c r="K14" s="107"/>
      <c r="L14" s="107"/>
      <c r="M14" s="107"/>
      <c r="N14" s="107"/>
      <c r="O14" s="107"/>
      <c r="P14" s="107"/>
      <c r="Q14" s="3"/>
      <c r="R14" s="107"/>
      <c r="S14" s="3"/>
      <c r="T14" s="107"/>
      <c r="U14" s="107"/>
      <c r="V14" s="107"/>
      <c r="W14" s="107"/>
      <c r="X14" s="107"/>
      <c r="Y14" s="107"/>
      <c r="Z14" s="107"/>
      <c r="AA14" s="107"/>
      <c r="AB14" s="107"/>
      <c r="AC14" s="6"/>
      <c r="AD14" s="1"/>
      <c r="AE14"/>
      <c r="AF14"/>
      <c r="AG14"/>
      <c r="AH14"/>
    </row>
    <row r="15" spans="1:34" s="5" customFormat="1" ht="15.6" x14ac:dyDescent="0.3">
      <c r="A15" s="166"/>
      <c r="B15" s="191" t="s">
        <v>34</v>
      </c>
      <c r="C15" s="184" t="s">
        <v>35</v>
      </c>
      <c r="D15" s="151"/>
      <c r="E15" s="279">
        <f>((E8+20)*E7)*6</f>
        <v>4320</v>
      </c>
      <c r="F15" s="185">
        <v>20</v>
      </c>
      <c r="G15" s="179">
        <f>E15*F15</f>
        <v>86400</v>
      </c>
      <c r="H15" s="166"/>
      <c r="I15" s="110"/>
      <c r="J15" s="107"/>
      <c r="K15" s="107"/>
      <c r="L15" s="107"/>
      <c r="M15" s="107"/>
      <c r="N15" s="107"/>
      <c r="O15" s="107"/>
      <c r="P15" s="107"/>
      <c r="Q15" s="3"/>
      <c r="R15" s="107"/>
      <c r="S15" s="3"/>
      <c r="T15" s="107"/>
      <c r="U15" s="107"/>
      <c r="V15" s="107"/>
      <c r="W15" s="107"/>
      <c r="X15" s="107"/>
      <c r="Y15" s="107"/>
      <c r="Z15" s="107"/>
      <c r="AA15" s="107"/>
      <c r="AB15" s="107"/>
      <c r="AC15" s="6"/>
      <c r="AD15" s="1"/>
      <c r="AE15"/>
      <c r="AF15"/>
      <c r="AG15"/>
      <c r="AH15"/>
    </row>
    <row r="16" spans="1:34" ht="28.8" x14ac:dyDescent="0.3">
      <c r="A16" s="192"/>
      <c r="B16" s="186" t="s">
        <v>14</v>
      </c>
      <c r="C16" s="187" t="s">
        <v>15</v>
      </c>
      <c r="D16" s="193" t="s">
        <v>16</v>
      </c>
      <c r="E16" s="194" t="s">
        <v>2</v>
      </c>
      <c r="F16" s="189" t="s">
        <v>10</v>
      </c>
      <c r="G16" s="190"/>
      <c r="H16" s="195"/>
      <c r="J16" s="107"/>
      <c r="K16" s="107"/>
      <c r="L16" s="107"/>
      <c r="M16" s="107"/>
      <c r="N16" s="107"/>
      <c r="O16" s="107"/>
      <c r="P16" s="107"/>
      <c r="R16" s="107"/>
      <c r="T16" s="107"/>
      <c r="U16" s="107"/>
      <c r="V16" s="107"/>
      <c r="W16" s="107"/>
      <c r="X16" s="107"/>
      <c r="Y16" s="107"/>
      <c r="Z16" s="107"/>
      <c r="AA16" s="107"/>
      <c r="AB16" s="107"/>
    </row>
    <row r="17" spans="1:34" ht="15.6" x14ac:dyDescent="0.3">
      <c r="A17" s="192"/>
      <c r="B17" s="197" t="s">
        <v>120</v>
      </c>
      <c r="C17" s="152" t="s">
        <v>17</v>
      </c>
      <c r="D17" s="151">
        <v>3</v>
      </c>
      <c r="E17" s="153">
        <f>E6*2+E7+2</f>
        <v>17</v>
      </c>
      <c r="F17" s="185">
        <v>50</v>
      </c>
      <c r="G17" s="198">
        <f>D17*E17*F17</f>
        <v>2550</v>
      </c>
      <c r="H17" s="195"/>
      <c r="J17" s="107"/>
      <c r="K17" s="107"/>
      <c r="L17" s="107"/>
      <c r="M17" s="107"/>
      <c r="N17" s="107"/>
      <c r="O17" s="107"/>
      <c r="P17" s="107"/>
      <c r="R17" s="107"/>
      <c r="T17" s="107"/>
      <c r="U17" s="107"/>
      <c r="V17" s="107"/>
      <c r="W17" s="107"/>
      <c r="X17" s="107"/>
      <c r="Y17" s="107"/>
      <c r="Z17" s="107"/>
      <c r="AA17" s="107"/>
      <c r="AB17" s="107"/>
    </row>
    <row r="18" spans="1:34" s="4" customFormat="1" x14ac:dyDescent="0.3">
      <c r="A18" s="192"/>
      <c r="B18" s="197" t="s">
        <v>121</v>
      </c>
      <c r="C18" s="152" t="s">
        <v>18</v>
      </c>
      <c r="D18" s="153">
        <v>1.3</v>
      </c>
      <c r="E18" s="265">
        <v>0</v>
      </c>
      <c r="F18" s="185">
        <v>50</v>
      </c>
      <c r="G18" s="198">
        <f>D18*E18*F18</f>
        <v>0</v>
      </c>
      <c r="H18" s="195"/>
      <c r="I18" s="107"/>
      <c r="J18" s="107"/>
      <c r="K18" s="107"/>
      <c r="L18" s="107"/>
      <c r="M18" s="107"/>
      <c r="N18" s="107"/>
      <c r="O18" s="107"/>
      <c r="P18" s="107"/>
      <c r="Q18" s="3"/>
      <c r="R18" s="107"/>
      <c r="S18" s="3"/>
      <c r="T18" s="107"/>
      <c r="U18" s="107"/>
      <c r="V18" s="107"/>
      <c r="W18" s="107"/>
      <c r="X18" s="107"/>
      <c r="Y18" s="107"/>
      <c r="Z18" s="107"/>
      <c r="AA18" s="107"/>
      <c r="AB18" s="107"/>
      <c r="AC18" s="6"/>
      <c r="AD18" s="1"/>
      <c r="AE18"/>
      <c r="AF18"/>
      <c r="AG18"/>
      <c r="AH18"/>
    </row>
    <row r="19" spans="1:34" s="4" customFormat="1" x14ac:dyDescent="0.3">
      <c r="A19" s="192"/>
      <c r="B19" s="197" t="s">
        <v>122</v>
      </c>
      <c r="C19" s="152" t="s">
        <v>18</v>
      </c>
      <c r="D19" s="153">
        <v>1.3</v>
      </c>
      <c r="E19" s="265">
        <v>0</v>
      </c>
      <c r="F19" s="185">
        <v>50</v>
      </c>
      <c r="G19" s="198">
        <f t="shared" ref="G19:G21" si="0">D19*E19*F19</f>
        <v>0</v>
      </c>
      <c r="H19" s="195"/>
      <c r="I19" s="107"/>
      <c r="J19" s="107"/>
      <c r="K19" s="107"/>
      <c r="L19" s="107"/>
      <c r="M19" s="107"/>
      <c r="N19" s="107"/>
      <c r="O19" s="107"/>
      <c r="P19" s="107"/>
      <c r="Q19" s="3"/>
      <c r="R19" s="107"/>
      <c r="S19" s="3"/>
      <c r="T19" s="107"/>
      <c r="U19" s="107"/>
      <c r="V19" s="107"/>
      <c r="W19" s="107"/>
      <c r="X19" s="107"/>
      <c r="Y19" s="107"/>
      <c r="Z19" s="107"/>
      <c r="AA19" s="107"/>
      <c r="AB19" s="107"/>
      <c r="AC19" s="6"/>
      <c r="AD19" s="1"/>
      <c r="AE19"/>
      <c r="AF19"/>
      <c r="AG19"/>
      <c r="AH19"/>
    </row>
    <row r="20" spans="1:34" s="4" customFormat="1" ht="28.8" x14ac:dyDescent="0.3">
      <c r="A20" s="192"/>
      <c r="B20" s="197" t="s">
        <v>123</v>
      </c>
      <c r="C20" s="152" t="s">
        <v>19</v>
      </c>
      <c r="D20" s="153">
        <v>7.5</v>
      </c>
      <c r="E20" s="153">
        <f>E7</f>
        <v>12</v>
      </c>
      <c r="F20" s="185">
        <v>50</v>
      </c>
      <c r="G20" s="198">
        <f t="shared" si="0"/>
        <v>4500</v>
      </c>
      <c r="H20" s="195"/>
      <c r="I20" s="107"/>
      <c r="J20" s="107"/>
      <c r="K20" s="107"/>
      <c r="L20" s="107"/>
      <c r="M20" s="107"/>
      <c r="N20" s="107"/>
      <c r="O20" s="107"/>
      <c r="P20" s="107"/>
      <c r="Q20" s="3"/>
      <c r="R20" s="107"/>
      <c r="S20" s="3"/>
      <c r="T20" s="107"/>
      <c r="U20" s="107"/>
      <c r="V20" s="107"/>
      <c r="W20" s="107"/>
      <c r="X20" s="107"/>
      <c r="Y20" s="107"/>
      <c r="Z20" s="107"/>
      <c r="AA20" s="107"/>
      <c r="AB20" s="107"/>
      <c r="AC20" s="6"/>
      <c r="AD20" s="1"/>
      <c r="AE20"/>
      <c r="AF20"/>
      <c r="AG20"/>
      <c r="AH20"/>
    </row>
    <row r="21" spans="1:34" s="4" customFormat="1" ht="28.8" x14ac:dyDescent="0.3">
      <c r="A21" s="192"/>
      <c r="B21" s="197" t="s">
        <v>124</v>
      </c>
      <c r="C21" s="152" t="s">
        <v>20</v>
      </c>
      <c r="D21" s="153">
        <v>6.25</v>
      </c>
      <c r="E21" s="261">
        <v>0</v>
      </c>
      <c r="F21" s="185">
        <v>50</v>
      </c>
      <c r="G21" s="198">
        <f t="shared" si="0"/>
        <v>0</v>
      </c>
      <c r="H21" s="195"/>
      <c r="I21" s="107"/>
      <c r="J21" s="107"/>
      <c r="K21" s="107"/>
      <c r="L21" s="107"/>
      <c r="M21" s="107"/>
      <c r="N21" s="107"/>
      <c r="O21" s="107"/>
      <c r="P21" s="107"/>
      <c r="Q21" s="3"/>
      <c r="R21" s="107"/>
      <c r="S21" s="3"/>
      <c r="T21" s="107"/>
      <c r="U21" s="107"/>
      <c r="V21" s="107"/>
      <c r="W21" s="107"/>
      <c r="X21" s="107"/>
      <c r="Y21" s="107"/>
      <c r="Z21" s="107"/>
      <c r="AA21" s="107"/>
      <c r="AB21" s="107"/>
      <c r="AC21" s="6"/>
      <c r="AD21" s="1"/>
      <c r="AE21"/>
      <c r="AF21"/>
      <c r="AG21"/>
      <c r="AH21"/>
    </row>
    <row r="22" spans="1:34" s="4" customFormat="1" ht="72" x14ac:dyDescent="0.3">
      <c r="A22" s="192"/>
      <c r="B22" s="186" t="s">
        <v>41</v>
      </c>
      <c r="C22" s="187"/>
      <c r="D22" s="193" t="s">
        <v>42</v>
      </c>
      <c r="E22" s="194" t="s">
        <v>2</v>
      </c>
      <c r="F22" s="280" t="s">
        <v>162</v>
      </c>
      <c r="G22" s="190"/>
      <c r="H22" s="195"/>
      <c r="I22" s="109"/>
      <c r="J22" s="109"/>
      <c r="K22" s="109"/>
      <c r="L22" s="109"/>
      <c r="M22" s="109"/>
      <c r="N22" s="109"/>
      <c r="O22" s="109"/>
      <c r="P22" s="109"/>
      <c r="Q22" s="109"/>
      <c r="R22" s="107"/>
      <c r="S22" s="3"/>
      <c r="T22" s="107"/>
      <c r="U22" s="107"/>
      <c r="V22" s="107"/>
      <c r="W22" s="107"/>
      <c r="X22" s="107"/>
      <c r="Y22" s="107"/>
      <c r="Z22" s="107"/>
      <c r="AA22" s="107"/>
      <c r="AB22" s="107"/>
      <c r="AC22" s="6"/>
      <c r="AD22" s="1"/>
      <c r="AE22"/>
      <c r="AF22"/>
      <c r="AG22"/>
      <c r="AH22"/>
    </row>
    <row r="23" spans="1:34" s="4" customFormat="1" x14ac:dyDescent="0.3">
      <c r="A23" s="192"/>
      <c r="B23" s="197" t="s">
        <v>44</v>
      </c>
      <c r="C23" s="152" t="s">
        <v>7</v>
      </c>
      <c r="D23" s="271">
        <v>50</v>
      </c>
      <c r="E23" s="152">
        <f>E12/10</f>
        <v>744</v>
      </c>
      <c r="F23" s="263">
        <v>0</v>
      </c>
      <c r="G23" s="198">
        <f>E23*F23</f>
        <v>0</v>
      </c>
      <c r="H23" s="195"/>
      <c r="I23" s="107"/>
      <c r="J23" s="107"/>
      <c r="K23" s="107"/>
      <c r="L23" s="107"/>
      <c r="M23" s="107"/>
      <c r="N23" s="107"/>
      <c r="O23" s="107"/>
      <c r="P23" s="107"/>
      <c r="Q23" s="3"/>
      <c r="R23" s="107"/>
      <c r="S23" s="3"/>
      <c r="T23" s="107"/>
      <c r="U23" s="107"/>
      <c r="V23" s="107"/>
      <c r="W23" s="107"/>
      <c r="X23" s="107"/>
      <c r="Y23" s="107"/>
      <c r="Z23" s="107"/>
      <c r="AA23" s="107"/>
      <c r="AB23" s="107"/>
      <c r="AC23" s="6"/>
      <c r="AD23" s="1"/>
      <c r="AE23"/>
      <c r="AF23"/>
      <c r="AG23"/>
      <c r="AH23"/>
    </row>
    <row r="24" spans="1:34" s="4" customFormat="1" ht="43.2" x14ac:dyDescent="0.3">
      <c r="A24" s="192"/>
      <c r="B24" s="197" t="s">
        <v>45</v>
      </c>
      <c r="C24" s="152" t="s">
        <v>7</v>
      </c>
      <c r="D24" s="108">
        <v>1000</v>
      </c>
      <c r="E24" s="152">
        <f>E12/60</f>
        <v>124</v>
      </c>
      <c r="F24" s="273">
        <v>0</v>
      </c>
      <c r="G24" s="198">
        <f>E24*F24</f>
        <v>0</v>
      </c>
      <c r="H24" s="195"/>
      <c r="I24" s="107"/>
      <c r="J24" s="107"/>
      <c r="K24" s="107"/>
      <c r="L24" s="107"/>
      <c r="M24" s="107"/>
      <c r="N24" s="107"/>
      <c r="O24" s="107"/>
      <c r="P24" s="107"/>
      <c r="Q24" s="3"/>
      <c r="R24" s="107"/>
      <c r="S24" s="3"/>
      <c r="T24" s="107"/>
      <c r="U24" s="107"/>
      <c r="V24" s="107"/>
      <c r="W24" s="107"/>
      <c r="X24" s="107"/>
      <c r="Y24" s="107"/>
      <c r="Z24" s="107"/>
      <c r="AA24" s="107"/>
      <c r="AB24" s="107"/>
      <c r="AC24" s="6"/>
      <c r="AD24" s="1"/>
      <c r="AE24"/>
      <c r="AF24"/>
      <c r="AG24"/>
      <c r="AH24"/>
    </row>
    <row r="25" spans="1:34" s="4" customFormat="1" ht="28.8" x14ac:dyDescent="0.3">
      <c r="A25" s="192"/>
      <c r="B25" s="197" t="s">
        <v>46</v>
      </c>
      <c r="C25" s="152" t="s">
        <v>7</v>
      </c>
      <c r="D25" s="108">
        <v>1250</v>
      </c>
      <c r="E25" s="152">
        <f>E12/31</f>
        <v>240</v>
      </c>
      <c r="F25" s="263">
        <v>0</v>
      </c>
      <c r="G25" s="198">
        <f>E25*F25</f>
        <v>0</v>
      </c>
      <c r="H25" s="195"/>
      <c r="I25" s="107"/>
      <c r="J25" s="107"/>
      <c r="K25" s="107"/>
      <c r="L25" s="107"/>
      <c r="M25" s="107"/>
      <c r="N25" s="107"/>
      <c r="O25" s="107"/>
      <c r="P25" s="107"/>
      <c r="Q25" s="3"/>
      <c r="R25" s="107"/>
      <c r="S25" s="3"/>
      <c r="T25" s="107"/>
      <c r="U25" s="107"/>
      <c r="V25" s="107"/>
      <c r="W25" s="107"/>
      <c r="X25" s="107"/>
      <c r="Y25" s="107"/>
      <c r="Z25" s="107"/>
      <c r="AA25" s="107"/>
      <c r="AB25" s="107"/>
      <c r="AC25" s="6"/>
      <c r="AD25" s="1"/>
      <c r="AE25"/>
      <c r="AF25"/>
      <c r="AG25"/>
      <c r="AH25"/>
    </row>
    <row r="26" spans="1:34" s="4" customFormat="1" x14ac:dyDescent="0.3">
      <c r="A26" s="192"/>
      <c r="B26" s="199"/>
      <c r="C26" s="152"/>
      <c r="D26" s="153"/>
      <c r="E26" s="152"/>
      <c r="F26" s="185"/>
      <c r="G26" s="198"/>
      <c r="H26" s="195"/>
      <c r="I26" s="107"/>
      <c r="J26" s="107"/>
      <c r="K26" s="107"/>
      <c r="L26" s="107"/>
      <c r="M26" s="107"/>
      <c r="N26" s="107"/>
      <c r="O26" s="107"/>
      <c r="P26" s="107"/>
      <c r="Q26" s="3"/>
      <c r="R26" s="107"/>
      <c r="S26" s="3"/>
      <c r="T26" s="107"/>
      <c r="U26" s="107"/>
      <c r="V26" s="107"/>
      <c r="W26" s="107"/>
      <c r="X26" s="107"/>
      <c r="Y26" s="107"/>
      <c r="Z26" s="107"/>
      <c r="AA26" s="107"/>
      <c r="AB26" s="107"/>
      <c r="AC26" s="6"/>
      <c r="AD26" s="1"/>
      <c r="AE26"/>
      <c r="AF26"/>
      <c r="AG26"/>
      <c r="AH26"/>
    </row>
    <row r="27" spans="1:34" s="4" customFormat="1" ht="15" customHeight="1" x14ac:dyDescent="0.3">
      <c r="A27" s="192"/>
      <c r="B27" s="201" t="s">
        <v>21</v>
      </c>
      <c r="C27" s="202"/>
      <c r="D27" s="203"/>
      <c r="E27" s="204"/>
      <c r="F27" s="205"/>
      <c r="G27" s="206">
        <f>SUM(G11:G26)</f>
        <v>419850</v>
      </c>
      <c r="H27" s="195"/>
      <c r="I27" s="107"/>
      <c r="J27" s="107"/>
      <c r="K27" s="107"/>
      <c r="L27" s="107"/>
      <c r="M27" s="107"/>
      <c r="N27" s="107"/>
      <c r="O27" s="107"/>
      <c r="P27" s="107"/>
      <c r="Q27" s="3"/>
      <c r="R27" s="107"/>
      <c r="S27" s="3"/>
      <c r="T27" s="107"/>
      <c r="U27" s="107"/>
      <c r="V27" s="107"/>
      <c r="W27" s="107"/>
      <c r="X27" s="107"/>
      <c r="Y27" s="107"/>
      <c r="Z27" s="107"/>
      <c r="AA27" s="107"/>
      <c r="AB27" s="107"/>
      <c r="AC27" s="6"/>
      <c r="AD27" s="1"/>
      <c r="AE27"/>
      <c r="AF27"/>
      <c r="AG27"/>
      <c r="AH27"/>
    </row>
    <row r="28" spans="1:34" s="4" customFormat="1" ht="15" customHeight="1" x14ac:dyDescent="0.3">
      <c r="A28" s="192"/>
      <c r="B28" s="207"/>
      <c r="C28" s="208"/>
      <c r="D28" s="209"/>
      <c r="E28" s="210"/>
      <c r="F28" s="211"/>
      <c r="G28" s="212"/>
      <c r="H28" s="195"/>
      <c r="I28" s="107"/>
      <c r="J28" s="107"/>
      <c r="K28" s="107"/>
      <c r="L28" s="107"/>
      <c r="M28" s="107"/>
      <c r="N28" s="107"/>
      <c r="O28" s="107"/>
      <c r="P28" s="107"/>
      <c r="Q28" s="3"/>
      <c r="R28" s="107"/>
      <c r="S28" s="3"/>
      <c r="T28" s="107"/>
      <c r="U28" s="107"/>
      <c r="V28" s="107"/>
      <c r="W28" s="107"/>
      <c r="X28" s="107"/>
      <c r="Y28" s="107"/>
      <c r="Z28" s="107"/>
      <c r="AA28" s="107"/>
      <c r="AB28" s="107"/>
      <c r="AC28" s="6"/>
      <c r="AD28" s="1"/>
      <c r="AE28"/>
      <c r="AF28"/>
      <c r="AG28"/>
      <c r="AH28"/>
    </row>
    <row r="29" spans="1:34" s="4" customFormat="1" ht="15" customHeight="1" x14ac:dyDescent="0.3">
      <c r="A29" s="192"/>
      <c r="B29" s="213" t="s">
        <v>22</v>
      </c>
      <c r="C29" s="390" t="s">
        <v>23</v>
      </c>
      <c r="D29" s="390"/>
      <c r="E29" s="390"/>
      <c r="F29" s="214">
        <v>0.1</v>
      </c>
      <c r="G29" s="215">
        <f>G27*F29</f>
        <v>41985</v>
      </c>
      <c r="H29" s="195"/>
      <c r="I29" s="107"/>
      <c r="J29" s="107"/>
      <c r="K29" s="107"/>
      <c r="L29" s="107"/>
      <c r="M29" s="107"/>
      <c r="N29" s="107"/>
      <c r="O29" s="107"/>
      <c r="P29" s="107"/>
      <c r="Q29" s="3"/>
      <c r="R29" s="107"/>
      <c r="S29" s="3"/>
      <c r="T29" s="107"/>
      <c r="U29" s="107"/>
      <c r="V29" s="107"/>
      <c r="W29" s="107"/>
      <c r="X29" s="107"/>
      <c r="Y29" s="107"/>
      <c r="Z29" s="107"/>
      <c r="AA29" s="107"/>
      <c r="AB29" s="107"/>
      <c r="AC29" s="6"/>
      <c r="AD29" s="1"/>
      <c r="AE29"/>
      <c r="AF29"/>
      <c r="AG29"/>
      <c r="AH29"/>
    </row>
    <row r="30" spans="1:34" s="4" customFormat="1" ht="15" customHeight="1" x14ac:dyDescent="0.3">
      <c r="A30" s="192"/>
      <c r="B30" s="207" t="s">
        <v>24</v>
      </c>
      <c r="C30" s="208"/>
      <c r="D30" s="216"/>
      <c r="E30" s="217"/>
      <c r="F30" s="218"/>
      <c r="G30" s="212">
        <f>SUM(G27:G29)</f>
        <v>461835</v>
      </c>
      <c r="H30" s="195"/>
      <c r="I30" s="107"/>
      <c r="J30" s="107"/>
      <c r="K30" s="107"/>
      <c r="L30" s="107"/>
      <c r="M30" s="107"/>
      <c r="N30" s="107"/>
      <c r="O30" s="107"/>
      <c r="P30" s="107"/>
      <c r="Q30" s="3"/>
      <c r="R30" s="107"/>
      <c r="S30" s="3"/>
      <c r="T30" s="107"/>
      <c r="U30" s="107"/>
      <c r="V30" s="107"/>
      <c r="W30" s="107"/>
      <c r="X30" s="107"/>
      <c r="Y30" s="107"/>
      <c r="Z30" s="107"/>
      <c r="AA30" s="107"/>
      <c r="AB30" s="107"/>
      <c r="AC30" s="6"/>
      <c r="AD30" s="1"/>
      <c r="AE30"/>
      <c r="AF30"/>
      <c r="AG30"/>
      <c r="AH30"/>
    </row>
    <row r="31" spans="1:34" s="4" customFormat="1" ht="15" customHeight="1" x14ac:dyDescent="0.3">
      <c r="A31" s="192"/>
      <c r="B31" s="219" t="s">
        <v>25</v>
      </c>
      <c r="C31" s="391" t="s">
        <v>23</v>
      </c>
      <c r="D31" s="391"/>
      <c r="E31" s="391"/>
      <c r="F31" s="220">
        <v>0.1</v>
      </c>
      <c r="G31" s="221">
        <f>G30*F31</f>
        <v>46183.5</v>
      </c>
      <c r="H31" s="195"/>
      <c r="I31" s="107"/>
      <c r="J31" s="107"/>
      <c r="K31" s="107"/>
      <c r="L31" s="107"/>
      <c r="M31" s="107"/>
      <c r="N31" s="107"/>
      <c r="O31" s="107"/>
      <c r="P31" s="107"/>
      <c r="Q31" s="3"/>
      <c r="R31" s="107"/>
      <c r="S31" s="3"/>
      <c r="T31" s="107"/>
      <c r="U31" s="107"/>
      <c r="V31" s="107"/>
      <c r="W31" s="107"/>
      <c r="X31" s="107"/>
      <c r="Y31" s="107"/>
      <c r="Z31" s="107"/>
      <c r="AA31" s="107"/>
      <c r="AB31" s="107"/>
      <c r="AC31" s="6"/>
      <c r="AD31" s="1"/>
      <c r="AE31"/>
      <c r="AF31"/>
      <c r="AG31"/>
      <c r="AH31"/>
    </row>
    <row r="32" spans="1:34" s="4" customFormat="1" ht="15" customHeight="1" thickBot="1" x14ac:dyDescent="0.35">
      <c r="A32" s="192"/>
      <c r="B32" s="222" t="s">
        <v>21</v>
      </c>
      <c r="C32" s="223"/>
      <c r="D32" s="224"/>
      <c r="E32" s="225"/>
      <c r="F32" s="226"/>
      <c r="G32" s="227">
        <f>SUM(G30:G31)</f>
        <v>508018.5</v>
      </c>
      <c r="H32" s="195"/>
      <c r="I32" s="107"/>
      <c r="J32" s="107"/>
      <c r="K32" s="107"/>
      <c r="L32" s="107"/>
      <c r="M32" s="107"/>
      <c r="N32" s="107"/>
      <c r="O32" s="107"/>
      <c r="P32" s="107"/>
      <c r="Q32" s="3"/>
      <c r="R32" s="107"/>
      <c r="S32" s="3"/>
      <c r="T32" s="107"/>
      <c r="U32" s="107"/>
      <c r="V32" s="107"/>
      <c r="W32" s="107"/>
      <c r="X32" s="107"/>
      <c r="Y32" s="107"/>
      <c r="Z32" s="107"/>
      <c r="AA32" s="107"/>
      <c r="AB32" s="107"/>
      <c r="AC32" s="6"/>
      <c r="AD32" s="1"/>
      <c r="AE32"/>
      <c r="AF32"/>
      <c r="AG32"/>
      <c r="AH32"/>
    </row>
    <row r="33" spans="1:34" s="4" customFormat="1" ht="15" customHeight="1" thickTop="1" x14ac:dyDescent="0.3">
      <c r="A33" s="192"/>
      <c r="B33" s="213" t="s">
        <v>26</v>
      </c>
      <c r="C33" s="392" t="s">
        <v>27</v>
      </c>
      <c r="D33" s="392"/>
      <c r="E33" s="392"/>
      <c r="F33" s="214">
        <v>0.25</v>
      </c>
      <c r="G33" s="228">
        <f>G32*F33</f>
        <v>127004.625</v>
      </c>
      <c r="H33" s="195"/>
      <c r="I33" s="107"/>
      <c r="J33" s="107"/>
      <c r="K33" s="107"/>
      <c r="L33" s="107"/>
      <c r="M33" s="107"/>
      <c r="N33" s="107"/>
      <c r="O33" s="107"/>
      <c r="P33" s="107"/>
      <c r="Q33" s="3"/>
      <c r="R33" s="107"/>
      <c r="S33" s="3"/>
      <c r="T33" s="107"/>
      <c r="U33" s="107"/>
      <c r="V33" s="107"/>
      <c r="W33" s="107"/>
      <c r="X33" s="107"/>
      <c r="Y33" s="107"/>
      <c r="Z33" s="107"/>
      <c r="AA33" s="107"/>
      <c r="AB33" s="107"/>
      <c r="AC33" s="6"/>
      <c r="AD33" s="1"/>
      <c r="AE33"/>
      <c r="AF33"/>
      <c r="AG33"/>
      <c r="AH33"/>
    </row>
    <row r="34" spans="1:34" s="4" customFormat="1" ht="15" customHeight="1" thickBot="1" x14ac:dyDescent="0.35">
      <c r="A34" s="192"/>
      <c r="B34" s="229" t="s">
        <v>28</v>
      </c>
      <c r="C34" s="385" t="s">
        <v>86</v>
      </c>
      <c r="D34" s="385"/>
      <c r="E34" s="385"/>
      <c r="F34" s="230">
        <v>0.1</v>
      </c>
      <c r="G34" s="231">
        <f>G33*F34</f>
        <v>12700.462500000001</v>
      </c>
      <c r="H34" s="195"/>
      <c r="I34" s="107"/>
      <c r="J34" s="107"/>
      <c r="K34" s="107"/>
      <c r="L34" s="107"/>
      <c r="M34" s="107"/>
      <c r="N34" s="107"/>
      <c r="O34" s="107"/>
      <c r="P34" s="107"/>
      <c r="Q34" s="3"/>
      <c r="R34" s="107"/>
      <c r="S34" s="3"/>
      <c r="T34" s="107"/>
      <c r="U34" s="107"/>
      <c r="V34" s="107"/>
      <c r="W34" s="107"/>
      <c r="X34" s="107"/>
      <c r="Y34" s="107"/>
      <c r="Z34" s="107"/>
      <c r="AA34" s="107"/>
      <c r="AB34" s="107"/>
      <c r="AC34" s="6"/>
      <c r="AD34" s="1"/>
      <c r="AE34"/>
      <c r="AF34"/>
      <c r="AG34"/>
      <c r="AH34"/>
    </row>
    <row r="35" spans="1:34" s="4" customFormat="1" ht="15" customHeight="1" thickTop="1" x14ac:dyDescent="0.3">
      <c r="A35" s="192"/>
      <c r="B35" s="232"/>
      <c r="C35" s="233"/>
      <c r="D35" s="234"/>
      <c r="E35" s="235"/>
      <c r="F35" s="182"/>
      <c r="G35" s="236"/>
      <c r="H35" s="195"/>
      <c r="I35" s="107"/>
      <c r="J35" s="107"/>
      <c r="K35" s="107"/>
      <c r="L35" s="107"/>
      <c r="M35" s="107"/>
      <c r="N35" s="107"/>
      <c r="O35" s="107"/>
      <c r="P35" s="107"/>
      <c r="Q35" s="3"/>
      <c r="R35" s="107"/>
      <c r="S35" s="3"/>
      <c r="T35" s="107"/>
      <c r="U35" s="107"/>
      <c r="V35" s="107"/>
      <c r="W35" s="107"/>
      <c r="X35" s="107"/>
      <c r="Y35" s="107"/>
      <c r="Z35" s="107"/>
      <c r="AA35" s="107"/>
      <c r="AB35" s="107"/>
      <c r="AC35" s="6"/>
      <c r="AD35" s="1"/>
      <c r="AE35"/>
      <c r="AF35"/>
      <c r="AG35"/>
      <c r="AH35"/>
    </row>
    <row r="36" spans="1:34" s="4" customFormat="1" ht="15" customHeight="1" thickBot="1" x14ac:dyDescent="0.35">
      <c r="A36" s="192"/>
      <c r="B36" s="237" t="s">
        <v>30</v>
      </c>
      <c r="C36" s="238"/>
      <c r="D36" s="239"/>
      <c r="E36" s="240"/>
      <c r="F36" s="241"/>
      <c r="G36" s="242">
        <f>SUM(G32,G33,G34)</f>
        <v>647723.58750000002</v>
      </c>
      <c r="H36" s="195"/>
      <c r="I36" s="107"/>
      <c r="J36" s="107"/>
      <c r="K36" s="107"/>
      <c r="L36" s="107"/>
      <c r="M36" s="107"/>
      <c r="N36" s="107"/>
      <c r="O36" s="107"/>
      <c r="P36" s="107"/>
      <c r="Q36" s="3"/>
      <c r="R36" s="107"/>
      <c r="S36" s="3"/>
      <c r="T36" s="107"/>
      <c r="U36" s="107"/>
      <c r="V36" s="107"/>
      <c r="W36" s="107"/>
      <c r="X36" s="107"/>
      <c r="Y36" s="107"/>
      <c r="Z36" s="107"/>
      <c r="AA36" s="107"/>
      <c r="AB36" s="107"/>
      <c r="AC36" s="6"/>
      <c r="AD36" s="1"/>
      <c r="AE36"/>
      <c r="AF36"/>
      <c r="AG36"/>
      <c r="AH36"/>
    </row>
    <row r="37" spans="1:34" x14ac:dyDescent="0.3">
      <c r="A37" s="192"/>
      <c r="B37" s="170"/>
      <c r="C37" s="195"/>
      <c r="D37" s="195"/>
      <c r="E37" s="168"/>
      <c r="F37" s="168"/>
      <c r="G37" s="168"/>
      <c r="H37" s="195"/>
    </row>
    <row r="38" spans="1:34" x14ac:dyDescent="0.3">
      <c r="A38" s="192"/>
      <c r="B38" s="170"/>
      <c r="C38" s="195"/>
      <c r="D38" s="195"/>
      <c r="E38" s="168"/>
      <c r="F38" s="168"/>
      <c r="G38" s="168"/>
      <c r="H38" s="195"/>
    </row>
  </sheetData>
  <sheetProtection sheet="1" objects="1" scenarios="1"/>
  <mergeCells count="6">
    <mergeCell ref="C34:E34"/>
    <mergeCell ref="B2:G2"/>
    <mergeCell ref="B3:G3"/>
    <mergeCell ref="C29:E29"/>
    <mergeCell ref="C31:E31"/>
    <mergeCell ref="C33:E33"/>
  </mergeCells>
  <dataValidations count="6">
    <dataValidation allowBlank="1" showInputMessage="1" showErrorMessage="1" promptTitle="Flex Posts" prompt="Physical separation to deter motor vehicle infringement onto the bike lane. Passive unit cost is a placeholder for each separator's unit cost.  The Active Unit Cost can be user adjusted depending on which separator is preferred for the project._x000a_" sqref="F23" xr:uid="{F6FC03A5-0567-48A1-900C-9B2002404BCB}"/>
    <dataValidation allowBlank="1" showInputMessage="1" showErrorMessage="1" promptTitle="Instructions Cell" prompt="Additional instructions can be found if you hover over green colored cells." sqref="J2" xr:uid="{9966F344-B9C6-477E-AED9-C0FD30DB17E8}"/>
    <dataValidation allowBlank="1" showInputMessage="1" showErrorMessage="1" promptTitle="Bike Lane Ahead" prompt="Enter additional quanities for this type of sign, if desired or required." sqref="E18" xr:uid="{5FA47FC2-3FEF-4498-9564-5D8E7DDAF18D}"/>
    <dataValidation allowBlank="1" showInputMessage="1" showErrorMessage="1" promptTitle="Bike Lane Ends" prompt="Enter additional quanities for this type of sign, if desired or required." sqref="E19" xr:uid="{2DD0FED2-BA24-4960-8F7D-E8C55DCDBC2C}"/>
    <dataValidation allowBlank="1" showInputMessage="1" showErrorMessage="1" promptTitle="Bikes May Use Full Lane" prompt="Enter additional quanities for this type of sign, if desired or required." sqref="E21" xr:uid="{408B2601-6599-462F-BDE6-949E4A7A137C}"/>
    <dataValidation allowBlank="1" showInputMessage="1" showErrorMessage="1" promptTitle="Passive Unit Cost" prompt="The &quot;Passive Unit Cost&quot; is a locked cell which states the current unit price for each feature.  In the &quot;Active Unit Cost&quot; cell, type &quot;=&quot; and select the same &quot;Passive Unit Cost&quot; of the same feature.  The subtotal will automatically update. " sqref="D23" xr:uid="{8785F262-D0B3-488B-9563-60D5F7F42517}"/>
  </dataValidations>
  <pageMargins left="0.25" right="0.25" top="0.75" bottom="0.75" header="0.3" footer="0.3"/>
  <pageSetup paperSize="3"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BEEB2-294C-42A3-B617-8660D1B8DF24}">
  <sheetPr>
    <pageSetUpPr fitToPage="1"/>
  </sheetPr>
  <dimension ref="A1:AH37"/>
  <sheetViews>
    <sheetView zoomScaleNormal="100" workbookViewId="0">
      <selection activeCell="J25" sqref="J25"/>
    </sheetView>
  </sheetViews>
  <sheetFormatPr defaultRowHeight="14.4" x14ac:dyDescent="0.3"/>
  <cols>
    <col min="1" max="1" width="8.6640625" style="2" customWidth="1"/>
    <col min="2" max="2" width="26" style="1" customWidth="1"/>
    <col min="3" max="3" width="11.33203125" style="4" customWidth="1"/>
    <col min="4" max="4" width="8.6640625" style="4" customWidth="1"/>
    <col min="5" max="5" width="12.33203125" style="3" customWidth="1"/>
    <col min="6" max="6" width="20.5546875" style="3" customWidth="1"/>
    <col min="7" max="7" width="12.6640625" style="3" customWidth="1"/>
    <col min="8" max="8" width="13.88671875" style="4" customWidth="1"/>
    <col min="9" max="9" width="27.5546875" style="5" customWidth="1"/>
    <col min="10" max="10" width="12.6640625" style="5" customWidth="1"/>
    <col min="11" max="11" width="14" style="5" customWidth="1"/>
    <col min="12" max="16" width="12.6640625" style="5" customWidth="1"/>
    <col min="17" max="17" width="14.44140625" style="3" bestFit="1" customWidth="1"/>
    <col min="18" max="18" width="12.6640625" style="5" customWidth="1"/>
    <col min="19" max="19" width="10.5546875" style="3" customWidth="1"/>
    <col min="20" max="23" width="12.6640625" style="5" customWidth="1"/>
    <col min="24" max="24" width="14.33203125" style="5" customWidth="1"/>
    <col min="25" max="26" width="12.6640625" style="5" customWidth="1"/>
    <col min="27" max="27" width="15.33203125" style="5" customWidth="1"/>
    <col min="28" max="28" width="12.6640625" style="5" customWidth="1"/>
    <col min="29" max="29" width="12.6640625" style="6" customWidth="1"/>
    <col min="30" max="30" width="23" style="1" customWidth="1"/>
    <col min="32" max="32" width="9.5546875" bestFit="1" customWidth="1"/>
    <col min="33" max="33" width="11.6640625" bestFit="1" customWidth="1"/>
  </cols>
  <sheetData>
    <row r="1" spans="1:34" ht="15" thickBot="1" x14ac:dyDescent="0.35">
      <c r="A1" s="154"/>
      <c r="B1" s="155"/>
      <c r="C1" s="156"/>
      <c r="D1" s="157"/>
      <c r="E1" s="158"/>
      <c r="F1" s="158"/>
      <c r="G1" s="158"/>
      <c r="H1" s="156"/>
      <c r="I1" s="11"/>
      <c r="J1" s="22"/>
      <c r="K1" s="22"/>
      <c r="L1" s="11"/>
      <c r="M1" s="11"/>
      <c r="N1" s="22"/>
      <c r="O1" s="11"/>
      <c r="P1" s="11"/>
      <c r="Q1" s="9"/>
      <c r="R1" s="11"/>
      <c r="S1" s="9"/>
      <c r="T1" s="11"/>
      <c r="U1" s="11"/>
      <c r="V1" s="11"/>
      <c r="W1" s="11"/>
      <c r="X1" s="11"/>
      <c r="Y1" s="11"/>
      <c r="Z1" s="11"/>
      <c r="AA1" s="11"/>
      <c r="AB1" s="11"/>
      <c r="AC1" s="21"/>
      <c r="AD1" s="19"/>
      <c r="AF1" s="13"/>
      <c r="AG1" s="12"/>
    </row>
    <row r="2" spans="1:34" ht="57.6" x14ac:dyDescent="0.3">
      <c r="A2" s="166"/>
      <c r="B2" s="386" t="s">
        <v>47</v>
      </c>
      <c r="C2" s="387"/>
      <c r="D2" s="387"/>
      <c r="E2" s="387"/>
      <c r="F2" s="387"/>
      <c r="G2" s="388"/>
      <c r="H2" s="166"/>
      <c r="I2" s="262" t="s">
        <v>160</v>
      </c>
      <c r="J2" s="107"/>
      <c r="K2" s="107"/>
      <c r="L2" s="107"/>
      <c r="M2" s="107"/>
      <c r="N2" s="107"/>
      <c r="O2" s="107"/>
      <c r="P2" s="107"/>
      <c r="R2" s="107"/>
      <c r="T2" s="107"/>
      <c r="U2" s="107"/>
      <c r="V2" s="107"/>
      <c r="W2" s="107"/>
      <c r="X2" s="107"/>
      <c r="Y2" s="107"/>
      <c r="Z2" s="107"/>
      <c r="AA2" s="107"/>
      <c r="AB2" s="107"/>
    </row>
    <row r="3" spans="1:34" s="5" customFormat="1" ht="15.75" customHeight="1" thickBot="1" x14ac:dyDescent="0.35">
      <c r="A3" s="166"/>
      <c r="B3" s="389" t="s">
        <v>128</v>
      </c>
      <c r="C3" s="389"/>
      <c r="D3" s="389"/>
      <c r="E3" s="389"/>
      <c r="F3" s="389"/>
      <c r="G3" s="389"/>
      <c r="H3" s="166"/>
      <c r="I3" s="14"/>
      <c r="J3" s="107"/>
      <c r="K3" s="107"/>
      <c r="L3" s="107"/>
      <c r="M3" s="107"/>
      <c r="N3" s="107"/>
      <c r="O3" s="107"/>
      <c r="P3" s="107"/>
      <c r="Q3" s="3"/>
      <c r="R3" s="107"/>
      <c r="S3" s="3"/>
      <c r="T3" s="107"/>
      <c r="U3" s="107"/>
      <c r="V3" s="107"/>
      <c r="W3" s="107"/>
      <c r="X3" s="107"/>
      <c r="Y3" s="107"/>
      <c r="Z3" s="107"/>
      <c r="AA3" s="107"/>
      <c r="AB3" s="107"/>
      <c r="AC3" s="6"/>
      <c r="AD3" s="1"/>
      <c r="AE3"/>
      <c r="AF3"/>
      <c r="AG3"/>
      <c r="AH3"/>
    </row>
    <row r="4" spans="1:34" s="5" customFormat="1" x14ac:dyDescent="0.3">
      <c r="A4" s="166"/>
      <c r="B4" s="171" t="s">
        <v>1</v>
      </c>
      <c r="C4" s="172"/>
      <c r="D4" s="172"/>
      <c r="E4" s="173" t="s">
        <v>2</v>
      </c>
      <c r="F4" s="174"/>
      <c r="G4" s="175"/>
      <c r="H4" s="166"/>
      <c r="I4" s="14"/>
      <c r="J4" s="107"/>
      <c r="K4" s="107"/>
      <c r="L4" s="107"/>
      <c r="M4" s="107"/>
      <c r="N4" s="107"/>
      <c r="O4" s="107"/>
      <c r="P4" s="107"/>
      <c r="Q4" s="3"/>
      <c r="R4" s="107"/>
      <c r="S4" s="3"/>
      <c r="T4" s="107"/>
      <c r="U4" s="107"/>
      <c r="V4" s="107"/>
      <c r="W4" s="107"/>
      <c r="X4" s="107"/>
      <c r="Y4" s="107"/>
      <c r="Z4" s="107"/>
      <c r="AA4" s="107"/>
      <c r="AB4" s="107"/>
      <c r="AC4" s="6"/>
      <c r="AD4" s="1"/>
      <c r="AE4"/>
      <c r="AF4"/>
      <c r="AG4"/>
      <c r="AH4"/>
    </row>
    <row r="5" spans="1:34" s="5" customFormat="1" ht="15.6" x14ac:dyDescent="0.3">
      <c r="A5" s="166"/>
      <c r="B5" s="176" t="s">
        <v>3</v>
      </c>
      <c r="C5" s="177" t="s">
        <v>4</v>
      </c>
      <c r="D5" s="178"/>
      <c r="E5" s="151">
        <f>E6*5280</f>
        <v>7920</v>
      </c>
      <c r="F5" s="177"/>
      <c r="G5" s="179"/>
      <c r="H5" s="166"/>
      <c r="I5" s="14"/>
      <c r="J5" s="107"/>
      <c r="K5" s="107"/>
      <c r="L5" s="107"/>
      <c r="M5" s="107"/>
      <c r="N5" s="107"/>
      <c r="O5" s="107"/>
      <c r="P5" s="107"/>
      <c r="Q5" s="3"/>
      <c r="R5" s="107"/>
      <c r="S5" s="3"/>
      <c r="T5" s="107"/>
      <c r="U5" s="107"/>
      <c r="V5" s="107"/>
      <c r="W5" s="107"/>
      <c r="X5" s="107"/>
      <c r="Y5" s="107"/>
      <c r="Z5" s="107"/>
      <c r="AA5" s="107"/>
      <c r="AB5" s="107"/>
      <c r="AC5" s="6"/>
      <c r="AD5" s="1"/>
      <c r="AE5"/>
      <c r="AF5"/>
      <c r="AG5"/>
      <c r="AH5"/>
    </row>
    <row r="6" spans="1:34" s="5" customFormat="1" ht="15.6" x14ac:dyDescent="0.3">
      <c r="A6" s="166"/>
      <c r="B6" s="176" t="s">
        <v>3</v>
      </c>
      <c r="C6" s="177" t="s">
        <v>5</v>
      </c>
      <c r="D6" s="178"/>
      <c r="E6" s="258">
        <v>1.5</v>
      </c>
      <c r="F6" s="177"/>
      <c r="G6" s="179"/>
      <c r="H6" s="166"/>
      <c r="I6" s="14"/>
      <c r="J6" s="107"/>
      <c r="K6" s="107"/>
      <c r="L6" s="107"/>
      <c r="M6" s="107"/>
      <c r="N6" s="107"/>
      <c r="O6" s="107"/>
      <c r="P6" s="107"/>
      <c r="Q6" s="3"/>
      <c r="R6" s="107"/>
      <c r="S6" s="3"/>
      <c r="T6" s="107"/>
      <c r="U6" s="107"/>
      <c r="V6" s="107"/>
      <c r="W6" s="107"/>
      <c r="X6" s="107"/>
      <c r="Y6" s="107"/>
      <c r="Z6" s="107"/>
      <c r="AA6" s="107"/>
      <c r="AB6" s="107"/>
      <c r="AC6" s="6"/>
      <c r="AD6" s="1"/>
      <c r="AE6"/>
      <c r="AF6"/>
      <c r="AG6"/>
      <c r="AH6"/>
    </row>
    <row r="7" spans="1:34" s="5" customFormat="1" ht="15.6" x14ac:dyDescent="0.3">
      <c r="A7" s="166"/>
      <c r="B7" s="180" t="s">
        <v>6</v>
      </c>
      <c r="C7" s="181" t="s">
        <v>7</v>
      </c>
      <c r="D7" s="178"/>
      <c r="E7" s="259">
        <v>12</v>
      </c>
      <c r="F7" s="182"/>
      <c r="G7" s="179"/>
      <c r="H7" s="166"/>
      <c r="I7" s="14"/>
      <c r="J7" s="107"/>
      <c r="K7" s="107"/>
      <c r="L7" s="107"/>
      <c r="M7" s="107"/>
      <c r="N7" s="107"/>
      <c r="O7" s="107"/>
      <c r="P7" s="107"/>
      <c r="Q7" s="3"/>
      <c r="R7" s="107"/>
      <c r="S7" s="3"/>
      <c r="T7" s="107"/>
      <c r="U7" s="107"/>
      <c r="V7" s="107"/>
      <c r="W7" s="107"/>
      <c r="X7" s="107"/>
      <c r="Y7" s="107"/>
      <c r="Z7" s="107"/>
      <c r="AA7" s="107"/>
      <c r="AB7" s="107"/>
      <c r="AC7" s="6"/>
      <c r="AD7" s="1"/>
      <c r="AE7"/>
      <c r="AF7"/>
      <c r="AG7"/>
      <c r="AH7"/>
    </row>
    <row r="8" spans="1:34" s="5" customFormat="1" ht="15.6" x14ac:dyDescent="0.3">
      <c r="A8" s="166"/>
      <c r="B8" s="183" t="s">
        <v>8</v>
      </c>
      <c r="C8" s="184" t="s">
        <v>4</v>
      </c>
      <c r="D8" s="178"/>
      <c r="E8" s="259">
        <v>40</v>
      </c>
      <c r="F8" s="182"/>
      <c r="G8" s="179"/>
      <c r="H8" s="166"/>
      <c r="I8" s="14"/>
      <c r="J8" s="107"/>
      <c r="K8" s="107"/>
      <c r="L8" s="107"/>
      <c r="M8" s="107"/>
      <c r="N8" s="107"/>
      <c r="O8" s="107"/>
      <c r="P8" s="107"/>
      <c r="Q8" s="3"/>
      <c r="R8" s="107"/>
      <c r="S8" s="3"/>
      <c r="T8" s="107"/>
      <c r="U8" s="107"/>
      <c r="V8" s="107"/>
      <c r="W8" s="107"/>
      <c r="X8" s="107"/>
      <c r="Y8" s="107"/>
      <c r="Z8" s="107"/>
      <c r="AA8" s="107"/>
      <c r="AB8" s="107"/>
      <c r="AC8" s="6"/>
      <c r="AD8" s="1"/>
      <c r="AE8"/>
      <c r="AF8"/>
      <c r="AG8"/>
      <c r="AH8"/>
    </row>
    <row r="9" spans="1:34" s="5" customFormat="1" ht="15.6" x14ac:dyDescent="0.3">
      <c r="A9" s="166"/>
      <c r="B9" s="183"/>
      <c r="C9" s="184"/>
      <c r="D9" s="178"/>
      <c r="E9" s="151"/>
      <c r="F9" s="185"/>
      <c r="G9" s="179"/>
      <c r="H9" s="166"/>
      <c r="I9" s="14"/>
      <c r="J9" s="107"/>
      <c r="K9" s="107"/>
      <c r="L9" s="107"/>
      <c r="M9" s="107"/>
      <c r="N9" s="107"/>
      <c r="O9" s="107"/>
      <c r="P9" s="107"/>
      <c r="Q9" s="3"/>
      <c r="R9" s="107"/>
      <c r="S9" s="3"/>
      <c r="T9" s="107"/>
      <c r="U9" s="107"/>
      <c r="V9" s="107"/>
      <c r="W9" s="107"/>
      <c r="X9" s="107"/>
      <c r="Y9" s="107"/>
      <c r="Z9" s="107"/>
      <c r="AA9" s="107"/>
      <c r="AB9" s="107"/>
      <c r="AC9" s="6"/>
      <c r="AD9" s="1"/>
      <c r="AE9"/>
      <c r="AF9"/>
      <c r="AG9"/>
      <c r="AH9"/>
    </row>
    <row r="10" spans="1:34" s="5" customFormat="1" x14ac:dyDescent="0.3">
      <c r="A10" s="166"/>
      <c r="B10" s="186" t="s">
        <v>9</v>
      </c>
      <c r="C10" s="187"/>
      <c r="D10" s="188"/>
      <c r="E10" s="187" t="s">
        <v>2</v>
      </c>
      <c r="F10" s="189" t="s">
        <v>10</v>
      </c>
      <c r="G10" s="190"/>
      <c r="H10" s="166"/>
      <c r="I10" s="14"/>
      <c r="J10" s="107"/>
      <c r="K10" s="107"/>
      <c r="L10" s="107"/>
      <c r="M10" s="107"/>
      <c r="N10" s="107"/>
      <c r="O10" s="107"/>
      <c r="P10" s="107"/>
      <c r="Q10" s="3"/>
      <c r="R10" s="107"/>
      <c r="S10" s="3"/>
      <c r="T10" s="107"/>
      <c r="U10" s="107"/>
      <c r="V10" s="107"/>
      <c r="W10" s="107"/>
      <c r="X10" s="107"/>
      <c r="Y10" s="107"/>
      <c r="Z10" s="107"/>
      <c r="AA10" s="107"/>
      <c r="AB10" s="107"/>
      <c r="AC10" s="6"/>
      <c r="AD10" s="1"/>
      <c r="AE10"/>
      <c r="AF10"/>
      <c r="AG10"/>
      <c r="AH10"/>
    </row>
    <row r="11" spans="1:34" s="5" customFormat="1" ht="15.6" x14ac:dyDescent="0.3">
      <c r="A11" s="166"/>
      <c r="B11" s="183" t="s">
        <v>33</v>
      </c>
      <c r="C11" s="184" t="s">
        <v>7</v>
      </c>
      <c r="D11" s="178"/>
      <c r="E11" s="151">
        <f>E5/300+E7</f>
        <v>38.4</v>
      </c>
      <c r="F11" s="185">
        <v>500</v>
      </c>
      <c r="G11" s="179">
        <f>E11*F11</f>
        <v>19200</v>
      </c>
      <c r="H11" s="166"/>
      <c r="I11" s="14"/>
      <c r="J11" s="107"/>
      <c r="K11" s="107"/>
      <c r="L11" s="107"/>
      <c r="M11" s="107"/>
      <c r="N11" s="107"/>
      <c r="O11" s="107"/>
      <c r="P11" s="107"/>
      <c r="Q11" s="3"/>
      <c r="R11" s="107"/>
      <c r="S11" s="3"/>
      <c r="T11" s="107"/>
      <c r="U11" s="107"/>
      <c r="V11" s="107"/>
      <c r="W11" s="107"/>
      <c r="X11" s="107"/>
      <c r="Y11" s="107"/>
      <c r="Z11" s="107"/>
      <c r="AA11" s="107"/>
      <c r="AB11" s="107"/>
      <c r="AC11" s="6"/>
      <c r="AD11" s="1"/>
      <c r="AE11"/>
      <c r="AF11"/>
      <c r="AG11"/>
      <c r="AH11"/>
    </row>
    <row r="12" spans="1:34" s="5" customFormat="1" ht="28.8" x14ac:dyDescent="0.3">
      <c r="A12" s="166"/>
      <c r="B12" s="191" t="s">
        <v>12</v>
      </c>
      <c r="C12" s="184" t="s">
        <v>4</v>
      </c>
      <c r="D12" s="178"/>
      <c r="E12" s="151">
        <f>E5*2-(E7*E8)</f>
        <v>15360</v>
      </c>
      <c r="F12" s="185">
        <v>20</v>
      </c>
      <c r="G12" s="179">
        <f>E12*F12</f>
        <v>307200</v>
      </c>
      <c r="H12" s="166"/>
      <c r="I12" s="14"/>
      <c r="J12" s="107"/>
      <c r="K12" s="107"/>
      <c r="L12" s="107"/>
      <c r="M12" s="107"/>
      <c r="N12" s="107"/>
      <c r="O12" s="107"/>
      <c r="P12" s="107"/>
      <c r="Q12" s="3"/>
      <c r="R12" s="107"/>
      <c r="S12" s="3"/>
      <c r="T12" s="107"/>
      <c r="U12" s="107"/>
      <c r="V12" s="107"/>
      <c r="W12" s="107"/>
      <c r="X12" s="107"/>
      <c r="Y12" s="107"/>
      <c r="Z12" s="107"/>
      <c r="AA12" s="107"/>
      <c r="AB12" s="107"/>
      <c r="AC12" s="6"/>
      <c r="AD12" s="1"/>
      <c r="AE12"/>
      <c r="AF12"/>
      <c r="AG12"/>
      <c r="AH12"/>
    </row>
    <row r="13" spans="1:34" s="5" customFormat="1" ht="43.2" x14ac:dyDescent="0.3">
      <c r="A13" s="166"/>
      <c r="B13" s="191" t="s">
        <v>40</v>
      </c>
      <c r="C13" s="184" t="s">
        <v>4</v>
      </c>
      <c r="D13" s="178"/>
      <c r="E13" s="151">
        <f>E5*2-(E7*E9)*4.25</f>
        <v>15840</v>
      </c>
      <c r="F13" s="185">
        <v>20</v>
      </c>
      <c r="G13" s="179">
        <f>E13*F13</f>
        <v>316800</v>
      </c>
      <c r="H13" s="166"/>
      <c r="I13" s="14"/>
      <c r="J13" s="107"/>
      <c r="K13" s="107"/>
      <c r="L13" s="107"/>
      <c r="M13" s="107"/>
      <c r="N13" s="107"/>
      <c r="O13" s="107"/>
      <c r="P13" s="107"/>
      <c r="Q13" s="3"/>
      <c r="R13" s="107"/>
      <c r="S13" s="3"/>
      <c r="T13" s="107"/>
      <c r="U13" s="107"/>
      <c r="V13" s="107"/>
      <c r="W13" s="107"/>
      <c r="X13" s="107"/>
      <c r="Y13" s="107"/>
      <c r="Z13" s="107"/>
      <c r="AA13" s="107"/>
      <c r="AB13" s="107"/>
      <c r="AC13" s="6"/>
      <c r="AD13" s="1"/>
      <c r="AE13"/>
      <c r="AF13"/>
      <c r="AG13"/>
      <c r="AH13"/>
    </row>
    <row r="14" spans="1:34" s="5" customFormat="1" ht="28.8" x14ac:dyDescent="0.3">
      <c r="A14" s="166"/>
      <c r="B14" s="191" t="s">
        <v>13</v>
      </c>
      <c r="C14" s="184" t="s">
        <v>4</v>
      </c>
      <c r="D14" s="151"/>
      <c r="E14" s="260">
        <v>0</v>
      </c>
      <c r="F14" s="185">
        <v>20</v>
      </c>
      <c r="G14" s="179">
        <f>E14*F14</f>
        <v>0</v>
      </c>
      <c r="H14" s="166"/>
      <c r="I14" s="14"/>
      <c r="J14" s="107"/>
      <c r="K14" s="107"/>
      <c r="L14" s="107"/>
      <c r="M14" s="107"/>
      <c r="N14" s="107"/>
      <c r="O14" s="107"/>
      <c r="P14" s="107"/>
      <c r="Q14" s="3"/>
      <c r="R14" s="107"/>
      <c r="S14" s="3"/>
      <c r="T14" s="107"/>
      <c r="U14" s="107"/>
      <c r="V14" s="107"/>
      <c r="W14" s="107"/>
      <c r="X14" s="107"/>
      <c r="Y14" s="107"/>
      <c r="Z14" s="107"/>
      <c r="AA14" s="107"/>
      <c r="AB14" s="107"/>
      <c r="AC14" s="6"/>
      <c r="AD14" s="1"/>
      <c r="AE14"/>
      <c r="AF14"/>
      <c r="AG14"/>
      <c r="AH14"/>
    </row>
    <row r="15" spans="1:34" s="5" customFormat="1" ht="15.6" x14ac:dyDescent="0.3">
      <c r="A15" s="166"/>
      <c r="B15" s="191" t="s">
        <v>34</v>
      </c>
      <c r="C15" s="184" t="s">
        <v>35</v>
      </c>
      <c r="D15" s="151"/>
      <c r="E15" s="279">
        <f>((E8+20)*E7)*12</f>
        <v>8640</v>
      </c>
      <c r="F15" s="185">
        <v>20</v>
      </c>
      <c r="G15" s="179">
        <f>E15*F15</f>
        <v>172800</v>
      </c>
      <c r="H15" s="166"/>
      <c r="I15" s="14"/>
      <c r="J15" s="107"/>
      <c r="K15" s="107"/>
      <c r="L15" s="107"/>
      <c r="M15" s="107"/>
      <c r="N15" s="107"/>
      <c r="O15" s="107"/>
      <c r="P15" s="107"/>
      <c r="Q15" s="3"/>
      <c r="R15" s="107"/>
      <c r="S15" s="3"/>
      <c r="T15" s="107"/>
      <c r="U15" s="107"/>
      <c r="V15" s="107"/>
      <c r="W15" s="107"/>
      <c r="X15" s="107"/>
      <c r="Y15" s="107"/>
      <c r="Z15" s="107"/>
      <c r="AA15" s="107"/>
      <c r="AB15" s="107"/>
      <c r="AC15" s="6"/>
      <c r="AD15" s="1"/>
      <c r="AE15"/>
      <c r="AF15"/>
      <c r="AG15"/>
      <c r="AH15"/>
    </row>
    <row r="16" spans="1:34" ht="28.8" x14ac:dyDescent="0.3">
      <c r="A16" s="192"/>
      <c r="B16" s="186" t="s">
        <v>14</v>
      </c>
      <c r="C16" s="187" t="s">
        <v>15</v>
      </c>
      <c r="D16" s="193" t="s">
        <v>16</v>
      </c>
      <c r="E16" s="194" t="s">
        <v>2</v>
      </c>
      <c r="F16" s="189" t="s">
        <v>10</v>
      </c>
      <c r="G16" s="190"/>
      <c r="H16" s="195"/>
      <c r="I16" s="107"/>
      <c r="J16" s="107"/>
      <c r="K16" s="107"/>
      <c r="L16" s="107"/>
      <c r="M16" s="107"/>
      <c r="N16" s="107"/>
      <c r="O16" s="107"/>
      <c r="P16" s="107"/>
      <c r="R16" s="107"/>
      <c r="T16" s="107"/>
      <c r="U16" s="107"/>
      <c r="V16" s="107"/>
      <c r="W16" s="107"/>
      <c r="X16" s="107"/>
      <c r="Y16" s="107"/>
      <c r="Z16" s="107"/>
      <c r="AA16" s="107"/>
      <c r="AB16" s="107"/>
    </row>
    <row r="17" spans="1:34" ht="15.6" x14ac:dyDescent="0.3">
      <c r="A17" s="192"/>
      <c r="B17" s="197" t="s">
        <v>120</v>
      </c>
      <c r="C17" s="152" t="s">
        <v>17</v>
      </c>
      <c r="D17" s="151">
        <v>3</v>
      </c>
      <c r="E17" s="153">
        <f>E6*4+E7+2</f>
        <v>20</v>
      </c>
      <c r="F17" s="185">
        <v>50</v>
      </c>
      <c r="G17" s="198">
        <f>D17*E17*F17</f>
        <v>3000</v>
      </c>
      <c r="H17" s="195"/>
      <c r="I17" s="107"/>
      <c r="J17" s="107"/>
      <c r="K17" s="107"/>
      <c r="L17" s="107"/>
      <c r="M17" s="107"/>
      <c r="N17" s="107"/>
      <c r="O17" s="107"/>
      <c r="P17" s="107"/>
      <c r="R17" s="107"/>
      <c r="T17" s="107"/>
      <c r="U17" s="107"/>
      <c r="V17" s="107"/>
      <c r="W17" s="107"/>
      <c r="X17" s="107"/>
      <c r="Y17" s="107"/>
      <c r="Z17" s="107"/>
      <c r="AA17" s="107"/>
      <c r="AB17" s="107"/>
    </row>
    <row r="18" spans="1:34" s="4" customFormat="1" x14ac:dyDescent="0.3">
      <c r="A18" s="192"/>
      <c r="B18" s="197" t="s">
        <v>121</v>
      </c>
      <c r="C18" s="152" t="s">
        <v>18</v>
      </c>
      <c r="D18" s="153">
        <v>1.3</v>
      </c>
      <c r="E18" s="265">
        <v>0</v>
      </c>
      <c r="F18" s="185">
        <v>50</v>
      </c>
      <c r="G18" s="198">
        <f>D18*E18*F18</f>
        <v>0</v>
      </c>
      <c r="H18" s="195"/>
      <c r="I18" s="107"/>
      <c r="J18" s="107"/>
      <c r="K18" s="107"/>
      <c r="L18" s="107"/>
      <c r="M18" s="107"/>
      <c r="N18" s="107"/>
      <c r="O18" s="107"/>
      <c r="P18" s="107"/>
      <c r="Q18" s="3"/>
      <c r="R18" s="107"/>
      <c r="S18" s="3"/>
      <c r="T18" s="107"/>
      <c r="U18" s="107"/>
      <c r="V18" s="107"/>
      <c r="W18" s="107"/>
      <c r="X18" s="107"/>
      <c r="Y18" s="107"/>
      <c r="Z18" s="107"/>
      <c r="AA18" s="107"/>
      <c r="AB18" s="107"/>
      <c r="AC18" s="6"/>
      <c r="AD18" s="1"/>
      <c r="AE18"/>
      <c r="AF18"/>
      <c r="AG18"/>
      <c r="AH18"/>
    </row>
    <row r="19" spans="1:34" s="4" customFormat="1" x14ac:dyDescent="0.3">
      <c r="A19" s="192"/>
      <c r="B19" s="197" t="s">
        <v>122</v>
      </c>
      <c r="C19" s="152" t="s">
        <v>18</v>
      </c>
      <c r="D19" s="153">
        <v>1.3</v>
      </c>
      <c r="E19" s="265">
        <v>0</v>
      </c>
      <c r="F19" s="185">
        <v>50</v>
      </c>
      <c r="G19" s="198">
        <f t="shared" ref="G19:G21" si="0">D19*E19*F19</f>
        <v>0</v>
      </c>
      <c r="H19" s="195"/>
      <c r="I19" s="107"/>
      <c r="J19" s="107"/>
      <c r="K19" s="107"/>
      <c r="L19" s="107"/>
      <c r="M19" s="107"/>
      <c r="N19" s="107"/>
      <c r="O19" s="107"/>
      <c r="P19" s="107"/>
      <c r="Q19" s="3"/>
      <c r="R19" s="107"/>
      <c r="S19" s="3"/>
      <c r="T19" s="107"/>
      <c r="U19" s="107"/>
      <c r="V19" s="107"/>
      <c r="W19" s="107"/>
      <c r="X19" s="107"/>
      <c r="Y19" s="107"/>
      <c r="Z19" s="107"/>
      <c r="AA19" s="107"/>
      <c r="AB19" s="107"/>
      <c r="AC19" s="6"/>
      <c r="AD19" s="1"/>
      <c r="AE19"/>
      <c r="AF19"/>
      <c r="AG19"/>
      <c r="AH19"/>
    </row>
    <row r="20" spans="1:34" s="4" customFormat="1" ht="28.8" x14ac:dyDescent="0.3">
      <c r="A20" s="192"/>
      <c r="B20" s="197" t="s">
        <v>123</v>
      </c>
      <c r="C20" s="152" t="s">
        <v>19</v>
      </c>
      <c r="D20" s="153">
        <v>7.5</v>
      </c>
      <c r="E20" s="153">
        <f>E7*2</f>
        <v>24</v>
      </c>
      <c r="F20" s="185">
        <v>50</v>
      </c>
      <c r="G20" s="198">
        <f t="shared" si="0"/>
        <v>9000</v>
      </c>
      <c r="H20" s="195"/>
      <c r="I20" s="107"/>
      <c r="J20" s="107"/>
      <c r="K20" s="107"/>
      <c r="L20" s="107"/>
      <c r="M20" s="107"/>
      <c r="N20" s="107"/>
      <c r="O20" s="107"/>
      <c r="P20" s="107"/>
      <c r="Q20" s="3"/>
      <c r="R20" s="107"/>
      <c r="S20" s="3"/>
      <c r="T20" s="107"/>
      <c r="U20" s="107"/>
      <c r="V20" s="107"/>
      <c r="W20" s="107"/>
      <c r="X20" s="107"/>
      <c r="Y20" s="107"/>
      <c r="Z20" s="107"/>
      <c r="AA20" s="107"/>
      <c r="AB20" s="107"/>
      <c r="AC20" s="6"/>
      <c r="AD20" s="1"/>
      <c r="AE20"/>
      <c r="AF20"/>
      <c r="AG20"/>
      <c r="AH20"/>
    </row>
    <row r="21" spans="1:34" s="4" customFormat="1" ht="28.8" x14ac:dyDescent="0.3">
      <c r="A21" s="192"/>
      <c r="B21" s="197" t="s">
        <v>124</v>
      </c>
      <c r="C21" s="152" t="s">
        <v>20</v>
      </c>
      <c r="D21" s="153">
        <v>6.25</v>
      </c>
      <c r="E21" s="261">
        <v>0</v>
      </c>
      <c r="F21" s="185">
        <v>50</v>
      </c>
      <c r="G21" s="198">
        <f t="shared" si="0"/>
        <v>0</v>
      </c>
      <c r="H21" s="195"/>
      <c r="I21" s="107"/>
      <c r="J21" s="107"/>
      <c r="K21" s="107"/>
      <c r="L21" s="107"/>
      <c r="M21" s="107"/>
      <c r="N21" s="107"/>
      <c r="O21" s="107"/>
      <c r="P21" s="107"/>
      <c r="Q21" s="3"/>
      <c r="R21" s="107"/>
      <c r="S21" s="3"/>
      <c r="T21" s="107"/>
      <c r="U21" s="107"/>
      <c r="V21" s="107"/>
      <c r="W21" s="107"/>
      <c r="X21" s="107"/>
      <c r="Y21" s="107"/>
      <c r="Z21" s="107"/>
      <c r="AA21" s="107"/>
      <c r="AB21" s="107"/>
      <c r="AC21" s="6"/>
      <c r="AD21" s="1"/>
      <c r="AE21"/>
      <c r="AF21"/>
      <c r="AG21"/>
      <c r="AH21"/>
    </row>
    <row r="22" spans="1:34" s="4" customFormat="1" ht="57.6" x14ac:dyDescent="0.3">
      <c r="A22" s="192"/>
      <c r="B22" s="186" t="s">
        <v>41</v>
      </c>
      <c r="C22" s="187"/>
      <c r="D22" s="193" t="s">
        <v>42</v>
      </c>
      <c r="E22" s="194" t="s">
        <v>2</v>
      </c>
      <c r="F22" s="280" t="s">
        <v>162</v>
      </c>
      <c r="G22" s="190"/>
      <c r="H22" s="195"/>
      <c r="I22" s="107"/>
      <c r="J22" s="107"/>
      <c r="K22" s="107"/>
      <c r="L22" s="107"/>
      <c r="M22" s="107"/>
      <c r="N22" s="107"/>
      <c r="O22" s="107"/>
      <c r="P22" s="107"/>
      <c r="Q22" s="3"/>
      <c r="R22" s="107"/>
      <c r="S22" s="3"/>
      <c r="T22" s="107"/>
      <c r="U22" s="107"/>
      <c r="V22" s="107"/>
      <c r="W22" s="107"/>
      <c r="X22" s="107"/>
      <c r="Y22" s="107"/>
      <c r="Z22" s="107"/>
      <c r="AA22" s="107"/>
      <c r="AB22" s="107"/>
      <c r="AC22" s="6"/>
      <c r="AD22" s="1"/>
      <c r="AE22"/>
      <c r="AF22"/>
      <c r="AG22"/>
      <c r="AH22"/>
    </row>
    <row r="23" spans="1:34" s="4" customFormat="1" x14ac:dyDescent="0.3">
      <c r="A23" s="192"/>
      <c r="B23" s="197" t="s">
        <v>44</v>
      </c>
      <c r="C23" s="152" t="s">
        <v>7</v>
      </c>
      <c r="D23" s="274">
        <v>50</v>
      </c>
      <c r="E23" s="152">
        <f>E12*2/10</f>
        <v>3072</v>
      </c>
      <c r="F23" s="263"/>
      <c r="G23" s="198">
        <f>E23*F23</f>
        <v>0</v>
      </c>
      <c r="H23" s="195"/>
      <c r="I23" s="107"/>
      <c r="J23" s="107"/>
      <c r="K23" s="107"/>
      <c r="L23" s="107"/>
      <c r="M23" s="107"/>
      <c r="N23" s="107"/>
      <c r="O23" s="107"/>
      <c r="P23" s="107"/>
      <c r="Q23" s="3"/>
      <c r="R23" s="107"/>
      <c r="S23" s="3"/>
      <c r="T23" s="107"/>
      <c r="U23" s="107"/>
      <c r="V23" s="107"/>
      <c r="W23" s="107"/>
      <c r="X23" s="107"/>
      <c r="Y23" s="107"/>
      <c r="Z23" s="107"/>
      <c r="AA23" s="107"/>
      <c r="AB23" s="107"/>
      <c r="AC23" s="6"/>
      <c r="AD23" s="1"/>
      <c r="AE23"/>
      <c r="AF23"/>
      <c r="AG23"/>
      <c r="AH23"/>
    </row>
    <row r="24" spans="1:34" s="4" customFormat="1" ht="43.2" x14ac:dyDescent="0.3">
      <c r="A24" s="192"/>
      <c r="B24" s="197" t="s">
        <v>45</v>
      </c>
      <c r="C24" s="152" t="s">
        <v>7</v>
      </c>
      <c r="D24" s="108">
        <v>1000</v>
      </c>
      <c r="E24" s="152">
        <f>E12*2/60</f>
        <v>512</v>
      </c>
      <c r="F24" s="263"/>
      <c r="G24" s="198">
        <f>E24*F24</f>
        <v>0</v>
      </c>
      <c r="H24" s="195"/>
      <c r="I24" s="107"/>
      <c r="J24" s="107"/>
      <c r="K24" s="107"/>
      <c r="L24" s="107"/>
      <c r="M24" s="107"/>
      <c r="N24" s="107"/>
      <c r="O24" s="107"/>
      <c r="P24" s="107"/>
      <c r="Q24" s="3"/>
      <c r="R24" s="107"/>
      <c r="S24" s="3"/>
      <c r="T24" s="107"/>
      <c r="U24" s="107"/>
      <c r="V24" s="107"/>
      <c r="W24" s="107"/>
      <c r="X24" s="107"/>
      <c r="Y24" s="107"/>
      <c r="Z24" s="107"/>
      <c r="AA24" s="107"/>
      <c r="AB24" s="107"/>
      <c r="AC24" s="6"/>
      <c r="AD24" s="1"/>
      <c r="AE24"/>
      <c r="AF24"/>
      <c r="AG24"/>
      <c r="AH24"/>
    </row>
    <row r="25" spans="1:34" s="4" customFormat="1" ht="28.8" x14ac:dyDescent="0.3">
      <c r="A25" s="192"/>
      <c r="B25" s="197" t="s">
        <v>46</v>
      </c>
      <c r="C25" s="152" t="s">
        <v>7</v>
      </c>
      <c r="D25" s="108">
        <v>1250</v>
      </c>
      <c r="E25" s="281">
        <f>E12*2/31</f>
        <v>990.9677419354839</v>
      </c>
      <c r="F25" s="263"/>
      <c r="G25" s="198">
        <f>E25*F25</f>
        <v>0</v>
      </c>
      <c r="H25" s="195"/>
      <c r="I25" s="107"/>
      <c r="J25" s="107"/>
      <c r="K25" s="107"/>
      <c r="L25" s="107"/>
      <c r="M25" s="107"/>
      <c r="N25" s="107"/>
      <c r="O25" s="107"/>
      <c r="P25" s="107"/>
      <c r="Q25" s="3"/>
      <c r="R25" s="107"/>
      <c r="S25" s="3"/>
      <c r="T25" s="107"/>
      <c r="U25" s="107"/>
      <c r="V25" s="107"/>
      <c r="W25" s="107"/>
      <c r="X25" s="107"/>
      <c r="Y25" s="107"/>
      <c r="Z25" s="107"/>
      <c r="AA25" s="107"/>
      <c r="AB25" s="107"/>
      <c r="AC25" s="6"/>
      <c r="AD25" s="1"/>
      <c r="AE25"/>
      <c r="AF25"/>
      <c r="AG25"/>
      <c r="AH25"/>
    </row>
    <row r="26" spans="1:34" s="4" customFormat="1" x14ac:dyDescent="0.3">
      <c r="A26" s="192"/>
      <c r="B26" s="199"/>
      <c r="C26" s="152"/>
      <c r="D26" s="153"/>
      <c r="E26" s="152"/>
      <c r="F26" s="185"/>
      <c r="G26" s="198"/>
      <c r="H26" s="195"/>
      <c r="I26" s="107"/>
      <c r="J26" s="107"/>
      <c r="K26" s="107"/>
      <c r="L26" s="107"/>
      <c r="M26" s="107"/>
      <c r="N26" s="107"/>
      <c r="O26" s="107"/>
      <c r="P26" s="107"/>
      <c r="Q26" s="3"/>
      <c r="R26" s="107"/>
      <c r="S26" s="3"/>
      <c r="T26" s="107"/>
      <c r="U26" s="107"/>
      <c r="V26" s="107"/>
      <c r="W26" s="107"/>
      <c r="X26" s="107"/>
      <c r="Y26" s="107"/>
      <c r="Z26" s="107"/>
      <c r="AA26" s="107"/>
      <c r="AB26" s="107"/>
      <c r="AC26" s="6"/>
      <c r="AD26" s="1"/>
      <c r="AE26"/>
      <c r="AF26"/>
      <c r="AG26"/>
      <c r="AH26"/>
    </row>
    <row r="27" spans="1:34" s="4" customFormat="1" ht="15" customHeight="1" x14ac:dyDescent="0.3">
      <c r="A27" s="192"/>
      <c r="B27" s="201" t="s">
        <v>21</v>
      </c>
      <c r="C27" s="202"/>
      <c r="D27" s="203"/>
      <c r="E27" s="204"/>
      <c r="F27" s="205"/>
      <c r="G27" s="206">
        <f>SUM(G11:G26)</f>
        <v>828000</v>
      </c>
      <c r="H27" s="195"/>
      <c r="I27" s="107"/>
      <c r="J27" s="107"/>
      <c r="K27" s="107"/>
      <c r="L27" s="107"/>
      <c r="M27" s="107"/>
      <c r="N27" s="107"/>
      <c r="O27" s="107"/>
      <c r="P27" s="107"/>
      <c r="Q27" s="3"/>
      <c r="R27" s="107"/>
      <c r="S27" s="3"/>
      <c r="T27" s="107"/>
      <c r="U27" s="107"/>
      <c r="V27" s="107"/>
      <c r="W27" s="107"/>
      <c r="X27" s="107"/>
      <c r="Y27" s="107"/>
      <c r="Z27" s="107"/>
      <c r="AA27" s="107"/>
      <c r="AB27" s="107"/>
      <c r="AC27" s="6"/>
      <c r="AD27" s="1"/>
      <c r="AE27"/>
      <c r="AF27"/>
      <c r="AG27"/>
      <c r="AH27"/>
    </row>
    <row r="28" spans="1:34" s="4" customFormat="1" ht="15" customHeight="1" x14ac:dyDescent="0.3">
      <c r="A28" s="192"/>
      <c r="B28" s="207"/>
      <c r="C28" s="208"/>
      <c r="D28" s="209"/>
      <c r="E28" s="210"/>
      <c r="F28" s="211"/>
      <c r="G28" s="212"/>
      <c r="H28" s="195"/>
      <c r="I28" s="107"/>
      <c r="J28" s="107"/>
      <c r="K28" s="107"/>
      <c r="L28" s="107"/>
      <c r="M28" s="107"/>
      <c r="N28" s="107"/>
      <c r="O28" s="107"/>
      <c r="P28" s="107"/>
      <c r="Q28" s="3"/>
      <c r="R28" s="107"/>
      <c r="S28" s="3"/>
      <c r="T28" s="107"/>
      <c r="U28" s="107"/>
      <c r="V28" s="107"/>
      <c r="W28" s="107"/>
      <c r="X28" s="107"/>
      <c r="Y28" s="107"/>
      <c r="Z28" s="107"/>
      <c r="AA28" s="107"/>
      <c r="AB28" s="107"/>
      <c r="AC28" s="6"/>
      <c r="AD28" s="1"/>
      <c r="AE28"/>
      <c r="AF28"/>
      <c r="AG28"/>
      <c r="AH28"/>
    </row>
    <row r="29" spans="1:34" s="4" customFormat="1" ht="15" customHeight="1" x14ac:dyDescent="0.3">
      <c r="A29" s="192"/>
      <c r="B29" s="213" t="s">
        <v>22</v>
      </c>
      <c r="C29" s="390" t="s">
        <v>23</v>
      </c>
      <c r="D29" s="390"/>
      <c r="E29" s="390"/>
      <c r="F29" s="214">
        <v>0.1</v>
      </c>
      <c r="G29" s="215">
        <f>G27*F29</f>
        <v>82800</v>
      </c>
      <c r="H29" s="195"/>
      <c r="I29" s="107"/>
      <c r="J29" s="107"/>
      <c r="K29" s="107"/>
      <c r="L29" s="107"/>
      <c r="M29" s="107"/>
      <c r="N29" s="107"/>
      <c r="O29" s="107"/>
      <c r="P29" s="107"/>
      <c r="Q29" s="3"/>
      <c r="R29" s="107"/>
      <c r="S29" s="3"/>
      <c r="T29" s="107"/>
      <c r="U29" s="107"/>
      <c r="V29" s="107"/>
      <c r="W29" s="107"/>
      <c r="X29" s="107"/>
      <c r="Y29" s="107"/>
      <c r="Z29" s="107"/>
      <c r="AA29" s="107"/>
      <c r="AB29" s="107"/>
      <c r="AC29" s="6"/>
      <c r="AD29" s="1"/>
      <c r="AE29"/>
      <c r="AF29"/>
      <c r="AG29"/>
      <c r="AH29"/>
    </row>
    <row r="30" spans="1:34" s="4" customFormat="1" ht="15" customHeight="1" x14ac:dyDescent="0.3">
      <c r="A30" s="192"/>
      <c r="B30" s="207" t="s">
        <v>24</v>
      </c>
      <c r="C30" s="208"/>
      <c r="D30" s="216"/>
      <c r="E30" s="217"/>
      <c r="F30" s="218"/>
      <c r="G30" s="212">
        <f>SUM(G27:G29)</f>
        <v>910800</v>
      </c>
      <c r="H30" s="195"/>
      <c r="I30" s="107"/>
      <c r="J30" s="107"/>
      <c r="K30" s="107"/>
      <c r="L30" s="107"/>
      <c r="M30" s="107"/>
      <c r="N30" s="107"/>
      <c r="O30" s="107"/>
      <c r="P30" s="107"/>
      <c r="Q30" s="3"/>
      <c r="R30" s="107"/>
      <c r="S30" s="3"/>
      <c r="T30" s="107"/>
      <c r="U30" s="107"/>
      <c r="V30" s="107"/>
      <c r="W30" s="107"/>
      <c r="X30" s="107"/>
      <c r="Y30" s="107"/>
      <c r="Z30" s="107"/>
      <c r="AA30" s="107"/>
      <c r="AB30" s="107"/>
      <c r="AC30" s="6"/>
      <c r="AD30" s="1"/>
      <c r="AE30"/>
      <c r="AF30"/>
      <c r="AG30"/>
      <c r="AH30"/>
    </row>
    <row r="31" spans="1:34" s="4" customFormat="1" ht="15" customHeight="1" x14ac:dyDescent="0.3">
      <c r="A31" s="192"/>
      <c r="B31" s="219" t="s">
        <v>25</v>
      </c>
      <c r="C31" s="391" t="s">
        <v>23</v>
      </c>
      <c r="D31" s="391"/>
      <c r="E31" s="391"/>
      <c r="F31" s="220">
        <v>0.1</v>
      </c>
      <c r="G31" s="221">
        <f>G30*F31</f>
        <v>91080</v>
      </c>
      <c r="H31" s="195"/>
      <c r="I31" s="107"/>
      <c r="J31" s="107"/>
      <c r="K31" s="107"/>
      <c r="L31" s="107"/>
      <c r="M31" s="107"/>
      <c r="N31" s="107"/>
      <c r="O31" s="107"/>
      <c r="P31" s="107"/>
      <c r="Q31" s="3"/>
      <c r="R31" s="107"/>
      <c r="S31" s="3"/>
      <c r="T31" s="107"/>
      <c r="U31" s="107"/>
      <c r="V31" s="107"/>
      <c r="W31" s="107"/>
      <c r="X31" s="107"/>
      <c r="Y31" s="107"/>
      <c r="Z31" s="107"/>
      <c r="AA31" s="107"/>
      <c r="AB31" s="107"/>
      <c r="AC31" s="6"/>
      <c r="AD31" s="1"/>
      <c r="AE31"/>
      <c r="AF31"/>
      <c r="AG31"/>
      <c r="AH31"/>
    </row>
    <row r="32" spans="1:34" s="4" customFormat="1" ht="15" customHeight="1" thickBot="1" x14ac:dyDescent="0.35">
      <c r="A32" s="192"/>
      <c r="B32" s="222" t="s">
        <v>21</v>
      </c>
      <c r="C32" s="223"/>
      <c r="D32" s="224"/>
      <c r="E32" s="225"/>
      <c r="F32" s="226"/>
      <c r="G32" s="227">
        <f>SUM(G30:G31)</f>
        <v>1001880</v>
      </c>
      <c r="H32" s="195"/>
      <c r="I32" s="107"/>
      <c r="J32" s="107"/>
      <c r="K32" s="107"/>
      <c r="L32" s="107"/>
      <c r="M32" s="107"/>
      <c r="N32" s="107"/>
      <c r="O32" s="107"/>
      <c r="P32" s="107"/>
      <c r="Q32" s="3"/>
      <c r="R32" s="107"/>
      <c r="S32" s="3"/>
      <c r="T32" s="107"/>
      <c r="U32" s="107"/>
      <c r="V32" s="107"/>
      <c r="W32" s="107"/>
      <c r="X32" s="107"/>
      <c r="Y32" s="107"/>
      <c r="Z32" s="107"/>
      <c r="AA32" s="107"/>
      <c r="AB32" s="107"/>
      <c r="AC32" s="6"/>
      <c r="AD32" s="1"/>
      <c r="AE32"/>
      <c r="AF32"/>
      <c r="AG32"/>
      <c r="AH32"/>
    </row>
    <row r="33" spans="1:34" s="4" customFormat="1" ht="15" customHeight="1" thickTop="1" x14ac:dyDescent="0.3">
      <c r="A33" s="192"/>
      <c r="B33" s="213" t="s">
        <v>26</v>
      </c>
      <c r="C33" s="392" t="s">
        <v>27</v>
      </c>
      <c r="D33" s="392"/>
      <c r="E33" s="392"/>
      <c r="F33" s="214">
        <v>0.25</v>
      </c>
      <c r="G33" s="228">
        <f>G32*F33</f>
        <v>250470</v>
      </c>
      <c r="H33" s="195"/>
      <c r="I33" s="107"/>
      <c r="J33" s="107"/>
      <c r="K33" s="107"/>
      <c r="L33" s="107"/>
      <c r="M33" s="107"/>
      <c r="N33" s="107"/>
      <c r="O33" s="107"/>
      <c r="P33" s="107"/>
      <c r="Q33" s="3"/>
      <c r="R33" s="107"/>
      <c r="S33" s="3"/>
      <c r="T33" s="107"/>
      <c r="U33" s="107"/>
      <c r="V33" s="107"/>
      <c r="W33" s="107"/>
      <c r="X33" s="107"/>
      <c r="Y33" s="107"/>
      <c r="Z33" s="107"/>
      <c r="AA33" s="107"/>
      <c r="AB33" s="107"/>
      <c r="AC33" s="6"/>
      <c r="AD33" s="1"/>
      <c r="AE33"/>
      <c r="AF33"/>
      <c r="AG33"/>
      <c r="AH33"/>
    </row>
    <row r="34" spans="1:34" s="4" customFormat="1" ht="15" customHeight="1" thickBot="1" x14ac:dyDescent="0.35">
      <c r="A34" s="192"/>
      <c r="B34" s="229" t="s">
        <v>28</v>
      </c>
      <c r="C34" s="385" t="s">
        <v>86</v>
      </c>
      <c r="D34" s="385"/>
      <c r="E34" s="385"/>
      <c r="F34" s="230">
        <v>0.1</v>
      </c>
      <c r="G34" s="231">
        <f>G33*F34</f>
        <v>25047</v>
      </c>
      <c r="H34" s="195"/>
      <c r="I34" s="107"/>
      <c r="J34" s="107"/>
      <c r="K34" s="107"/>
      <c r="L34" s="107"/>
      <c r="M34" s="107"/>
      <c r="N34" s="107"/>
      <c r="O34" s="107"/>
      <c r="P34" s="107"/>
      <c r="Q34" s="3"/>
      <c r="R34" s="107"/>
      <c r="S34" s="3"/>
      <c r="T34" s="107"/>
      <c r="U34" s="107"/>
      <c r="V34" s="107"/>
      <c r="W34" s="107"/>
      <c r="X34" s="107"/>
      <c r="Y34" s="107"/>
      <c r="Z34" s="107"/>
      <c r="AA34" s="107"/>
      <c r="AB34" s="107"/>
      <c r="AC34" s="6"/>
      <c r="AD34" s="1"/>
      <c r="AE34"/>
      <c r="AF34"/>
      <c r="AG34"/>
      <c r="AH34"/>
    </row>
    <row r="35" spans="1:34" s="4" customFormat="1" ht="15" customHeight="1" thickTop="1" x14ac:dyDescent="0.3">
      <c r="A35" s="192"/>
      <c r="B35" s="232"/>
      <c r="C35" s="233"/>
      <c r="D35" s="234"/>
      <c r="E35" s="235"/>
      <c r="F35" s="182"/>
      <c r="G35" s="236"/>
      <c r="H35" s="195"/>
      <c r="I35" s="107"/>
      <c r="J35" s="107"/>
      <c r="K35" s="107"/>
      <c r="L35" s="107"/>
      <c r="M35" s="107"/>
      <c r="N35" s="107"/>
      <c r="O35" s="107"/>
      <c r="P35" s="107"/>
      <c r="Q35" s="3"/>
      <c r="R35" s="107"/>
      <c r="S35" s="3"/>
      <c r="T35" s="107"/>
      <c r="U35" s="107"/>
      <c r="V35" s="107"/>
      <c r="W35" s="107"/>
      <c r="X35" s="107"/>
      <c r="Y35" s="107"/>
      <c r="Z35" s="107"/>
      <c r="AA35" s="107"/>
      <c r="AB35" s="107"/>
      <c r="AC35" s="6"/>
      <c r="AD35" s="1"/>
      <c r="AE35"/>
      <c r="AF35"/>
      <c r="AG35"/>
      <c r="AH35"/>
    </row>
    <row r="36" spans="1:34" s="4" customFormat="1" ht="15" customHeight="1" thickBot="1" x14ac:dyDescent="0.35">
      <c r="A36" s="192"/>
      <c r="B36" s="237" t="s">
        <v>30</v>
      </c>
      <c r="C36" s="238"/>
      <c r="D36" s="239"/>
      <c r="E36" s="240"/>
      <c r="F36" s="241"/>
      <c r="G36" s="242">
        <f>SUM(G32,G33,G34)</f>
        <v>1277397</v>
      </c>
      <c r="H36" s="195"/>
      <c r="I36" s="107"/>
      <c r="J36" s="107"/>
      <c r="K36" s="107"/>
      <c r="L36" s="107"/>
      <c r="M36" s="107"/>
      <c r="N36" s="107"/>
      <c r="O36" s="107"/>
      <c r="P36" s="107"/>
      <c r="Q36" s="3"/>
      <c r="R36" s="107"/>
      <c r="S36" s="3"/>
      <c r="T36" s="107"/>
      <c r="U36" s="107"/>
      <c r="V36" s="107"/>
      <c r="W36" s="107"/>
      <c r="X36" s="107"/>
      <c r="Y36" s="107"/>
      <c r="Z36" s="107"/>
      <c r="AA36" s="107"/>
      <c r="AB36" s="107"/>
      <c r="AC36" s="6"/>
      <c r="AD36" s="1"/>
      <c r="AE36"/>
      <c r="AF36"/>
      <c r="AG36"/>
      <c r="AH36"/>
    </row>
    <row r="37" spans="1:34" x14ac:dyDescent="0.3">
      <c r="A37" s="192"/>
      <c r="B37" s="170"/>
      <c r="C37" s="195"/>
      <c r="D37" s="195"/>
      <c r="E37" s="168"/>
      <c r="F37" s="168"/>
      <c r="G37" s="168"/>
      <c r="H37" s="195"/>
    </row>
  </sheetData>
  <sheetProtection sheet="1" objects="1" scenarios="1"/>
  <mergeCells count="6">
    <mergeCell ref="C34:E34"/>
    <mergeCell ref="B2:G2"/>
    <mergeCell ref="B3:G3"/>
    <mergeCell ref="C29:E29"/>
    <mergeCell ref="C31:E31"/>
    <mergeCell ref="C33:E33"/>
  </mergeCells>
  <dataValidations count="5">
    <dataValidation allowBlank="1" showInputMessage="1" showErrorMessage="1" promptTitle="Bike Lane Ahead" prompt="Enter additional quanities for this type of sign, if desired or required." sqref="E18" xr:uid="{D4DC470D-EC73-4AD2-AE1D-C0C4F0E06F81}"/>
    <dataValidation allowBlank="1" showInputMessage="1" showErrorMessage="1" promptTitle="Bike Lane Ends" prompt="Enter additional quanities for this type of sign, if desired or required." sqref="E19" xr:uid="{0C9696A4-2C85-4DAF-8409-29ADF31BAACF}"/>
    <dataValidation allowBlank="1" showInputMessage="1" showErrorMessage="1" promptTitle="Bikes May Use Full Lane" prompt="Enter additional quanities for this type of sign, if desired or required." sqref="E21" xr:uid="{4A48D843-A10C-4AE9-B3E5-01D95B30341D}"/>
    <dataValidation allowBlank="1" showInputMessage="1" showErrorMessage="1" promptTitle="Passive Unit Cost" prompt="The &quot;Passive Unit Cost&quot; is a locked cell which states the current unit price for each feature.  In the &quot;Active Unit Cost&quot; cell, type &quot;=&quot; and select the same &quot;Passive Unit Cost&quot; of the same feature. The subtotal will automatically update. " sqref="D23" xr:uid="{0C02BCC2-9D2D-4F19-8950-60B8BC627519}"/>
    <dataValidation allowBlank="1" showInputMessage="1" showErrorMessage="1" promptTitle="Flex Posts" prompt="Physical separation to deter motor vehicle infringement onto the bike lane. Passive unit cost is a placeholder for each separator's unit cost.  The Active Unit Cost can be user adjusted depending on which separator is preferred for the project." sqref="F23" xr:uid="{5B21E6F9-2590-482D-A5D0-E11371E4DFF3}"/>
  </dataValidations>
  <pageMargins left="0.25" right="0.25" top="0.75" bottom="0.75" header="0.3" footer="0.3"/>
  <pageSetup paperSize="3" scale="78" fitToHeight="0" orientation="landscape" r:id="rId1"/>
  <ignoredErrors>
    <ignoredError sqref="G32"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8788-8A73-4E90-A987-32358D55AF2F}">
  <sheetPr>
    <pageSetUpPr fitToPage="1"/>
  </sheetPr>
  <dimension ref="A1:AH46"/>
  <sheetViews>
    <sheetView zoomScaleNormal="100" workbookViewId="0">
      <selection activeCell="I41" sqref="I41"/>
    </sheetView>
  </sheetViews>
  <sheetFormatPr defaultRowHeight="14.4" x14ac:dyDescent="0.3"/>
  <cols>
    <col min="1" max="1" width="8.6640625" style="2" customWidth="1"/>
    <col min="2" max="2" width="26" style="1" customWidth="1"/>
    <col min="3" max="3" width="12" style="4" customWidth="1"/>
    <col min="4" max="4" width="8.6640625" style="4" customWidth="1"/>
    <col min="5" max="5" width="12.33203125" style="3" customWidth="1"/>
    <col min="6" max="6" width="27" style="3" customWidth="1"/>
    <col min="7" max="7" width="14" style="3" customWidth="1"/>
    <col min="8" max="8" width="13.88671875" style="4" customWidth="1"/>
    <col min="9" max="9" width="30.5546875" style="5" customWidth="1"/>
    <col min="10" max="10" width="23.88671875" style="5" customWidth="1"/>
    <col min="11" max="11" width="14" style="5" customWidth="1"/>
    <col min="12" max="16" width="12.6640625" style="5" customWidth="1"/>
    <col min="17" max="17" width="14.44140625" style="3" bestFit="1" customWidth="1"/>
    <col min="18" max="18" width="12.6640625" style="5" customWidth="1"/>
    <col min="19" max="19" width="10.5546875" style="3" customWidth="1"/>
    <col min="20" max="23" width="12.6640625" style="5" customWidth="1"/>
    <col min="24" max="24" width="14.33203125" style="5" customWidth="1"/>
    <col min="25" max="26" width="12.6640625" style="5" customWidth="1"/>
    <col min="27" max="27" width="15.33203125" style="5" customWidth="1"/>
    <col min="28" max="28" width="12.6640625" style="5" customWidth="1"/>
    <col min="29" max="29" width="12.6640625" style="6" customWidth="1"/>
    <col min="30" max="30" width="23" style="1" customWidth="1"/>
    <col min="32" max="32" width="9.5546875" bestFit="1" customWidth="1"/>
    <col min="33" max="33" width="11.6640625" bestFit="1" customWidth="1"/>
  </cols>
  <sheetData>
    <row r="1" spans="1:34" ht="15" thickBot="1" x14ac:dyDescent="0.35">
      <c r="A1" s="154"/>
      <c r="B1" s="155"/>
      <c r="C1" s="156"/>
      <c r="D1" s="157"/>
      <c r="E1" s="158"/>
      <c r="F1" s="158"/>
      <c r="G1" s="158"/>
      <c r="H1" s="156"/>
      <c r="I1" s="11"/>
      <c r="J1" s="22"/>
      <c r="K1" s="22"/>
      <c r="L1" s="11"/>
      <c r="M1" s="11"/>
      <c r="N1" s="22"/>
      <c r="O1" s="11"/>
      <c r="P1" s="11"/>
      <c r="Q1" s="9"/>
      <c r="R1" s="11"/>
      <c r="S1" s="9"/>
      <c r="T1" s="11"/>
      <c r="U1" s="11"/>
      <c r="V1" s="11"/>
      <c r="W1" s="11"/>
      <c r="X1" s="11"/>
      <c r="Y1" s="11"/>
      <c r="Z1" s="11"/>
      <c r="AA1" s="11"/>
      <c r="AB1" s="11"/>
      <c r="AC1" s="21"/>
      <c r="AD1" s="19"/>
      <c r="AF1" s="13"/>
      <c r="AG1" s="12"/>
    </row>
    <row r="2" spans="1:34" ht="61.5" customHeight="1" x14ac:dyDescent="0.3">
      <c r="A2" s="166"/>
      <c r="B2" s="386" t="s">
        <v>48</v>
      </c>
      <c r="C2" s="387"/>
      <c r="D2" s="387"/>
      <c r="E2" s="387"/>
      <c r="F2" s="387"/>
      <c r="G2" s="388"/>
      <c r="H2" s="166"/>
      <c r="I2" s="262" t="s">
        <v>161</v>
      </c>
      <c r="J2" s="107"/>
      <c r="K2" s="107"/>
      <c r="L2" s="107"/>
      <c r="M2" s="107"/>
      <c r="N2" s="107"/>
      <c r="O2" s="107"/>
      <c r="P2" s="107"/>
      <c r="R2" s="107"/>
      <c r="T2" s="107"/>
      <c r="U2" s="107"/>
      <c r="V2" s="107"/>
      <c r="W2" s="107"/>
      <c r="X2" s="107"/>
      <c r="Y2" s="107"/>
      <c r="Z2" s="107"/>
      <c r="AA2" s="107"/>
      <c r="AB2" s="107"/>
    </row>
    <row r="3" spans="1:34" s="5" customFormat="1" ht="15.75" customHeight="1" thickBot="1" x14ac:dyDescent="0.35">
      <c r="A3" s="166"/>
      <c r="B3" s="389" t="s">
        <v>128</v>
      </c>
      <c r="C3" s="389"/>
      <c r="D3" s="389"/>
      <c r="E3" s="389"/>
      <c r="F3" s="389"/>
      <c r="G3" s="389"/>
      <c r="H3" s="166"/>
      <c r="J3" s="107"/>
      <c r="K3" s="107"/>
      <c r="L3" s="107"/>
      <c r="M3" s="107"/>
      <c r="N3" s="107"/>
      <c r="O3" s="107"/>
      <c r="P3" s="107"/>
      <c r="Q3" s="3"/>
      <c r="R3" s="107"/>
      <c r="S3" s="3"/>
      <c r="T3" s="107"/>
      <c r="U3" s="107"/>
      <c r="V3" s="107"/>
      <c r="W3" s="107"/>
      <c r="X3" s="107"/>
      <c r="Y3" s="107"/>
      <c r="Z3" s="107"/>
      <c r="AA3" s="107"/>
      <c r="AB3" s="107"/>
      <c r="AC3" s="6"/>
      <c r="AD3" s="1"/>
      <c r="AE3"/>
      <c r="AF3"/>
      <c r="AG3"/>
      <c r="AH3"/>
    </row>
    <row r="4" spans="1:34" s="5" customFormat="1" x14ac:dyDescent="0.3">
      <c r="A4" s="166"/>
      <c r="B4" s="171" t="s">
        <v>1</v>
      </c>
      <c r="C4" s="172"/>
      <c r="D4" s="172"/>
      <c r="E4" s="173" t="s">
        <v>2</v>
      </c>
      <c r="F4" s="174"/>
      <c r="G4" s="175"/>
      <c r="H4" s="166"/>
      <c r="I4" s="14"/>
      <c r="J4" s="107"/>
      <c r="K4" s="107"/>
      <c r="L4" s="107"/>
      <c r="M4" s="107"/>
      <c r="N4" s="107"/>
      <c r="O4" s="107"/>
      <c r="P4" s="107"/>
      <c r="Q4" s="3"/>
      <c r="R4" s="107"/>
      <c r="S4" s="3"/>
      <c r="T4" s="107"/>
      <c r="U4" s="107"/>
      <c r="V4" s="107"/>
      <c r="W4" s="107"/>
      <c r="X4" s="107"/>
      <c r="Y4" s="107"/>
      <c r="Z4" s="107"/>
      <c r="AA4" s="107"/>
      <c r="AB4" s="107"/>
      <c r="AC4" s="6"/>
      <c r="AD4" s="1"/>
      <c r="AE4"/>
      <c r="AF4"/>
      <c r="AG4"/>
      <c r="AH4"/>
    </row>
    <row r="5" spans="1:34" s="5" customFormat="1" ht="15.6" x14ac:dyDescent="0.3">
      <c r="A5" s="166"/>
      <c r="B5" s="176" t="s">
        <v>3</v>
      </c>
      <c r="C5" s="177" t="s">
        <v>4</v>
      </c>
      <c r="D5" s="178"/>
      <c r="E5" s="151">
        <f>E6*5280</f>
        <v>7391.9999999999991</v>
      </c>
      <c r="F5" s="177"/>
      <c r="G5" s="179"/>
      <c r="H5" s="166"/>
      <c r="I5" s="14"/>
      <c r="J5" s="107"/>
      <c r="K5" s="107"/>
      <c r="L5" s="107"/>
      <c r="M5" s="107"/>
      <c r="N5" s="107"/>
      <c r="O5" s="107"/>
      <c r="P5" s="107"/>
      <c r="Q5" s="3"/>
      <c r="R5" s="107"/>
      <c r="S5" s="3"/>
      <c r="T5" s="107"/>
      <c r="U5" s="107"/>
      <c r="V5" s="107"/>
      <c r="W5" s="107"/>
      <c r="X5" s="107"/>
      <c r="Y5" s="107"/>
      <c r="Z5" s="107"/>
      <c r="AA5" s="107"/>
      <c r="AB5" s="107"/>
      <c r="AC5" s="6"/>
      <c r="AD5" s="1"/>
      <c r="AE5"/>
      <c r="AF5"/>
      <c r="AG5"/>
      <c r="AH5"/>
    </row>
    <row r="6" spans="1:34" s="5" customFormat="1" ht="15.6" x14ac:dyDescent="0.3">
      <c r="A6" s="166"/>
      <c r="B6" s="176" t="s">
        <v>3</v>
      </c>
      <c r="C6" s="177" t="s">
        <v>5</v>
      </c>
      <c r="D6" s="178"/>
      <c r="E6" s="258">
        <v>1.4</v>
      </c>
      <c r="F6" s="177"/>
      <c r="G6" s="179"/>
      <c r="H6" s="166"/>
      <c r="I6" s="14"/>
      <c r="J6" s="107"/>
      <c r="K6" s="107"/>
      <c r="L6" s="107"/>
      <c r="M6" s="107"/>
      <c r="N6" s="107"/>
      <c r="O6" s="107"/>
      <c r="P6" s="107"/>
      <c r="Q6" s="3"/>
      <c r="R6" s="107"/>
      <c r="S6" s="3"/>
      <c r="T6" s="107"/>
      <c r="U6" s="107"/>
      <c r="V6" s="107"/>
      <c r="W6" s="107"/>
      <c r="X6" s="107"/>
      <c r="Y6" s="107"/>
      <c r="Z6" s="107"/>
      <c r="AA6" s="107"/>
      <c r="AB6" s="107"/>
      <c r="AC6" s="6"/>
      <c r="AD6" s="1"/>
      <c r="AE6"/>
      <c r="AF6"/>
      <c r="AG6"/>
      <c r="AH6"/>
    </row>
    <row r="7" spans="1:34" s="5" customFormat="1" ht="15.6" x14ac:dyDescent="0.3">
      <c r="A7" s="166"/>
      <c r="B7" s="180" t="s">
        <v>6</v>
      </c>
      <c r="C7" s="181" t="s">
        <v>7</v>
      </c>
      <c r="D7" s="178"/>
      <c r="E7" s="259">
        <v>20</v>
      </c>
      <c r="F7" s="182"/>
      <c r="G7" s="179"/>
      <c r="H7" s="166"/>
      <c r="I7" s="14"/>
      <c r="J7" s="107"/>
      <c r="K7" s="107"/>
      <c r="L7" s="107"/>
      <c r="M7" s="107"/>
      <c r="N7" s="107"/>
      <c r="O7" s="107"/>
      <c r="P7" s="107"/>
      <c r="Q7" s="3"/>
      <c r="R7" s="107"/>
      <c r="S7" s="3"/>
      <c r="T7" s="107"/>
      <c r="U7" s="107"/>
      <c r="V7" s="107"/>
      <c r="W7" s="107"/>
      <c r="X7" s="107"/>
      <c r="Y7" s="107"/>
      <c r="Z7" s="107"/>
      <c r="AA7" s="107"/>
      <c r="AB7" s="107"/>
      <c r="AC7" s="6"/>
      <c r="AD7" s="1"/>
      <c r="AE7"/>
      <c r="AF7"/>
      <c r="AG7"/>
      <c r="AH7"/>
    </row>
    <row r="8" spans="1:34" s="5" customFormat="1" ht="15.6" x14ac:dyDescent="0.3">
      <c r="A8" s="166"/>
      <c r="B8" s="183" t="s">
        <v>8</v>
      </c>
      <c r="C8" s="184" t="s">
        <v>4</v>
      </c>
      <c r="D8" s="178"/>
      <c r="E8" s="259">
        <v>40</v>
      </c>
      <c r="F8" s="182"/>
      <c r="G8" s="179"/>
      <c r="H8" s="166"/>
      <c r="I8" s="14"/>
      <c r="J8" s="107"/>
      <c r="K8" s="107"/>
      <c r="L8" s="107"/>
      <c r="M8" s="107"/>
      <c r="N8" s="107"/>
      <c r="O8" s="107"/>
      <c r="P8" s="107"/>
      <c r="Q8" s="3"/>
      <c r="R8" s="107"/>
      <c r="S8" s="3"/>
      <c r="T8" s="107"/>
      <c r="U8" s="107"/>
      <c r="V8" s="107"/>
      <c r="W8" s="107"/>
      <c r="X8" s="107"/>
      <c r="Y8" s="107"/>
      <c r="Z8" s="107"/>
      <c r="AA8" s="107"/>
      <c r="AB8" s="107"/>
      <c r="AC8" s="6"/>
      <c r="AD8" s="1"/>
      <c r="AE8"/>
      <c r="AF8"/>
      <c r="AG8"/>
      <c r="AH8"/>
    </row>
    <row r="9" spans="1:34" s="5" customFormat="1" ht="15.6" x14ac:dyDescent="0.3">
      <c r="A9" s="166"/>
      <c r="B9" s="183"/>
      <c r="C9" s="184"/>
      <c r="D9" s="178"/>
      <c r="E9" s="151"/>
      <c r="F9" s="185"/>
      <c r="G9" s="179"/>
      <c r="H9" s="166"/>
      <c r="I9" s="14"/>
      <c r="J9" s="107"/>
      <c r="K9" s="107"/>
      <c r="L9" s="107"/>
      <c r="M9" s="107"/>
      <c r="N9" s="107"/>
      <c r="O9" s="107"/>
      <c r="P9" s="107"/>
      <c r="Q9" s="3"/>
      <c r="R9" s="107"/>
      <c r="S9" s="3"/>
      <c r="T9" s="107"/>
      <c r="U9" s="107"/>
      <c r="V9" s="107"/>
      <c r="W9" s="107"/>
      <c r="X9" s="107"/>
      <c r="Y9" s="107"/>
      <c r="Z9" s="107"/>
      <c r="AA9" s="107"/>
      <c r="AB9" s="107"/>
      <c r="AC9" s="6"/>
      <c r="AD9" s="1"/>
      <c r="AE9"/>
      <c r="AF9"/>
      <c r="AG9"/>
      <c r="AH9"/>
    </row>
    <row r="10" spans="1:34" s="5" customFormat="1" x14ac:dyDescent="0.3">
      <c r="A10" s="166"/>
      <c r="B10" s="186" t="s">
        <v>9</v>
      </c>
      <c r="C10" s="282"/>
      <c r="D10" s="188"/>
      <c r="E10" s="282" t="s">
        <v>2</v>
      </c>
      <c r="F10" s="189" t="s">
        <v>10</v>
      </c>
      <c r="G10" s="190"/>
      <c r="H10" s="166"/>
      <c r="I10" s="14"/>
      <c r="J10" s="107"/>
      <c r="K10" s="107"/>
      <c r="L10" s="107"/>
      <c r="M10" s="107"/>
      <c r="N10" s="107"/>
      <c r="O10" s="107"/>
      <c r="P10" s="107"/>
      <c r="Q10" s="3"/>
      <c r="R10" s="107"/>
      <c r="S10" s="3"/>
      <c r="T10" s="107"/>
      <c r="U10" s="107"/>
      <c r="V10" s="107"/>
      <c r="W10" s="107"/>
      <c r="X10" s="107"/>
      <c r="Y10" s="107"/>
      <c r="Z10" s="107"/>
      <c r="AA10" s="107"/>
      <c r="AB10" s="107"/>
      <c r="AC10" s="6"/>
      <c r="AD10" s="1"/>
      <c r="AE10"/>
      <c r="AF10"/>
      <c r="AG10"/>
      <c r="AH10"/>
    </row>
    <row r="11" spans="1:34" s="5" customFormat="1" ht="15.6" x14ac:dyDescent="0.3">
      <c r="A11" s="166"/>
      <c r="B11" s="183" t="s">
        <v>33</v>
      </c>
      <c r="C11" s="184" t="s">
        <v>7</v>
      </c>
      <c r="D11" s="178"/>
      <c r="E11" s="151">
        <f>E5*2/300+E7</f>
        <v>69.28</v>
      </c>
      <c r="F11" s="185">
        <v>500</v>
      </c>
      <c r="G11" s="179">
        <f>E11*F11</f>
        <v>34640</v>
      </c>
      <c r="H11" s="166"/>
      <c r="I11" s="14"/>
      <c r="J11" s="107"/>
      <c r="K11" s="107"/>
      <c r="L11" s="107"/>
      <c r="M11" s="107"/>
      <c r="N11" s="107"/>
      <c r="O11" s="107"/>
      <c r="P11" s="107"/>
      <c r="Q11" s="3"/>
      <c r="R11" s="107"/>
      <c r="S11" s="3"/>
      <c r="T11" s="107"/>
      <c r="U11" s="107"/>
      <c r="V11" s="107"/>
      <c r="W11" s="107"/>
      <c r="X11" s="107"/>
      <c r="Y11" s="107"/>
      <c r="Z11" s="107"/>
      <c r="AA11" s="107"/>
      <c r="AB11" s="107"/>
      <c r="AC11" s="6"/>
      <c r="AD11" s="1"/>
      <c r="AE11"/>
      <c r="AF11"/>
      <c r="AG11"/>
      <c r="AH11"/>
    </row>
    <row r="12" spans="1:34" s="5" customFormat="1" ht="28.8" x14ac:dyDescent="0.3">
      <c r="A12" s="166"/>
      <c r="B12" s="191" t="s">
        <v>12</v>
      </c>
      <c r="C12" s="184" t="s">
        <v>4</v>
      </c>
      <c r="D12" s="178"/>
      <c r="E12" s="151">
        <f>E5-(E7*E8)</f>
        <v>6591.9999999999991</v>
      </c>
      <c r="F12" s="185">
        <v>20</v>
      </c>
      <c r="G12" s="179">
        <f>E12*F12</f>
        <v>131839.99999999997</v>
      </c>
      <c r="H12" s="166"/>
      <c r="I12" s="14"/>
      <c r="J12" s="107"/>
      <c r="K12" s="107"/>
      <c r="L12" s="107"/>
      <c r="M12" s="107"/>
      <c r="N12" s="107"/>
      <c r="O12" s="107"/>
      <c r="P12" s="107"/>
      <c r="Q12" s="3"/>
      <c r="R12" s="107"/>
      <c r="S12" s="3"/>
      <c r="T12" s="107"/>
      <c r="U12" s="107"/>
      <c r="V12" s="107"/>
      <c r="W12" s="107"/>
      <c r="X12" s="107"/>
      <c r="Y12" s="107"/>
      <c r="Z12" s="107"/>
      <c r="AA12" s="107"/>
      <c r="AB12" s="107"/>
      <c r="AC12" s="6"/>
      <c r="AD12" s="1"/>
      <c r="AE12"/>
      <c r="AF12"/>
      <c r="AG12"/>
      <c r="AH12"/>
    </row>
    <row r="13" spans="1:34" s="5" customFormat="1" ht="43.2" x14ac:dyDescent="0.3">
      <c r="A13" s="166"/>
      <c r="B13" s="191" t="s">
        <v>40</v>
      </c>
      <c r="C13" s="184" t="s">
        <v>4</v>
      </c>
      <c r="D13" s="178"/>
      <c r="E13" s="151">
        <f>E5-(E7*E9)*4.25</f>
        <v>7391.9999999999991</v>
      </c>
      <c r="F13" s="185">
        <v>20</v>
      </c>
      <c r="G13" s="179">
        <f>E13*F13</f>
        <v>147839.99999999997</v>
      </c>
      <c r="H13" s="166"/>
      <c r="I13" s="14"/>
      <c r="J13" s="107"/>
      <c r="K13" s="107"/>
      <c r="L13" s="107"/>
      <c r="M13" s="107"/>
      <c r="N13" s="107"/>
      <c r="O13" s="107"/>
      <c r="P13" s="107"/>
      <c r="Q13" s="3"/>
      <c r="R13" s="107"/>
      <c r="S13" s="3"/>
      <c r="T13" s="107"/>
      <c r="U13" s="107"/>
      <c r="V13" s="107"/>
      <c r="W13" s="107"/>
      <c r="X13" s="107"/>
      <c r="Y13" s="107"/>
      <c r="Z13" s="107"/>
      <c r="AA13" s="107"/>
      <c r="AB13" s="107"/>
      <c r="AC13" s="6"/>
      <c r="AD13" s="1"/>
      <c r="AE13"/>
      <c r="AF13"/>
      <c r="AG13"/>
      <c r="AH13"/>
    </row>
    <row r="14" spans="1:34" s="5" customFormat="1" ht="28.8" x14ac:dyDescent="0.3">
      <c r="A14" s="166"/>
      <c r="B14" s="191" t="s">
        <v>13</v>
      </c>
      <c r="C14" s="184" t="s">
        <v>4</v>
      </c>
      <c r="D14" s="151"/>
      <c r="E14" s="260">
        <v>0</v>
      </c>
      <c r="F14" s="185">
        <v>20</v>
      </c>
      <c r="G14" s="179">
        <f>E14*F14</f>
        <v>0</v>
      </c>
      <c r="H14" s="166"/>
      <c r="I14" s="14"/>
      <c r="J14" s="107"/>
      <c r="K14" s="107"/>
      <c r="L14" s="107"/>
      <c r="M14" s="107"/>
      <c r="N14" s="107"/>
      <c r="O14" s="107"/>
      <c r="P14" s="107"/>
      <c r="Q14" s="3"/>
      <c r="R14" s="107"/>
      <c r="S14" s="3"/>
      <c r="T14" s="107"/>
      <c r="U14" s="107"/>
      <c r="V14" s="107"/>
      <c r="W14" s="107"/>
      <c r="X14" s="107"/>
      <c r="Y14" s="107"/>
      <c r="Z14" s="107"/>
      <c r="AA14" s="107"/>
      <c r="AB14" s="107"/>
      <c r="AC14" s="6"/>
      <c r="AD14" s="1"/>
      <c r="AE14"/>
      <c r="AF14"/>
      <c r="AG14"/>
      <c r="AH14"/>
    </row>
    <row r="15" spans="1:34" s="5" customFormat="1" ht="15.6" x14ac:dyDescent="0.3">
      <c r="A15" s="166"/>
      <c r="B15" s="191" t="s">
        <v>34</v>
      </c>
      <c r="C15" s="184" t="s">
        <v>35</v>
      </c>
      <c r="D15" s="151"/>
      <c r="E15" s="279">
        <f>((E8+20)*E7)*12</f>
        <v>14400</v>
      </c>
      <c r="F15" s="185">
        <v>20</v>
      </c>
      <c r="G15" s="179">
        <f>E15*F15</f>
        <v>288000</v>
      </c>
      <c r="H15" s="166"/>
      <c r="I15" s="14"/>
      <c r="J15" s="107"/>
      <c r="K15" s="107"/>
      <c r="L15" s="107"/>
      <c r="M15" s="107"/>
      <c r="N15" s="107"/>
      <c r="O15" s="107"/>
      <c r="P15" s="107"/>
      <c r="Q15" s="3"/>
      <c r="R15" s="107"/>
      <c r="S15" s="3"/>
      <c r="T15" s="107"/>
      <c r="U15" s="107"/>
      <c r="V15" s="107"/>
      <c r="W15" s="107"/>
      <c r="X15" s="107"/>
      <c r="Y15" s="107"/>
      <c r="Z15" s="107"/>
      <c r="AA15" s="107"/>
      <c r="AB15" s="107"/>
      <c r="AC15" s="6"/>
      <c r="AD15" s="1"/>
      <c r="AE15"/>
      <c r="AF15"/>
      <c r="AG15"/>
      <c r="AH15"/>
    </row>
    <row r="16" spans="1:34" ht="28.8" x14ac:dyDescent="0.3">
      <c r="A16" s="192"/>
      <c r="B16" s="186" t="s">
        <v>14</v>
      </c>
      <c r="C16" s="187" t="s">
        <v>15</v>
      </c>
      <c r="D16" s="193" t="s">
        <v>16</v>
      </c>
      <c r="E16" s="194" t="s">
        <v>2</v>
      </c>
      <c r="F16" s="189" t="s">
        <v>10</v>
      </c>
      <c r="G16" s="190"/>
      <c r="H16" s="195"/>
      <c r="I16" s="107"/>
      <c r="J16" s="107"/>
      <c r="K16" s="107"/>
      <c r="L16" s="107"/>
      <c r="M16" s="107"/>
      <c r="N16" s="107"/>
      <c r="O16" s="107"/>
      <c r="P16" s="107"/>
      <c r="R16" s="107"/>
      <c r="T16" s="107"/>
      <c r="U16" s="107"/>
      <c r="V16" s="107"/>
      <c r="W16" s="107"/>
      <c r="X16" s="107"/>
      <c r="Y16" s="107"/>
      <c r="Z16" s="107"/>
      <c r="AA16" s="107"/>
      <c r="AB16" s="107"/>
    </row>
    <row r="17" spans="1:34" ht="15.6" x14ac:dyDescent="0.3">
      <c r="A17" s="192"/>
      <c r="B17" s="197" t="s">
        <v>120</v>
      </c>
      <c r="C17" s="152" t="s">
        <v>17</v>
      </c>
      <c r="D17" s="151">
        <v>3</v>
      </c>
      <c r="E17" s="153">
        <f>E6*2+E7+2</f>
        <v>24.8</v>
      </c>
      <c r="F17" s="185">
        <v>50</v>
      </c>
      <c r="G17" s="198">
        <f>D17*E17*F17</f>
        <v>3720.0000000000005</v>
      </c>
      <c r="H17" s="195"/>
      <c r="I17" s="107"/>
      <c r="J17" s="107"/>
      <c r="K17" s="107"/>
      <c r="L17" s="107"/>
      <c r="M17" s="107"/>
      <c r="N17" s="107"/>
      <c r="O17" s="107"/>
      <c r="P17" s="107"/>
      <c r="R17" s="107"/>
      <c r="T17" s="107"/>
      <c r="U17" s="107"/>
      <c r="V17" s="107"/>
      <c r="W17" s="107"/>
      <c r="X17" s="107"/>
      <c r="Y17" s="107"/>
      <c r="Z17" s="107"/>
      <c r="AA17" s="107"/>
      <c r="AB17" s="107"/>
    </row>
    <row r="18" spans="1:34" s="4" customFormat="1" x14ac:dyDescent="0.3">
      <c r="A18" s="192"/>
      <c r="B18" s="197" t="s">
        <v>121</v>
      </c>
      <c r="C18" s="152" t="s">
        <v>18</v>
      </c>
      <c r="D18" s="153">
        <v>1.3</v>
      </c>
      <c r="E18" s="265">
        <v>0</v>
      </c>
      <c r="F18" s="185">
        <v>50</v>
      </c>
      <c r="G18" s="198">
        <f>D18*E18*F18</f>
        <v>0</v>
      </c>
      <c r="H18" s="195"/>
      <c r="I18" s="107"/>
      <c r="J18" s="107"/>
      <c r="K18" s="107"/>
      <c r="L18" s="107"/>
      <c r="M18" s="107"/>
      <c r="N18" s="107"/>
      <c r="O18" s="107"/>
      <c r="P18" s="107"/>
      <c r="Q18" s="3"/>
      <c r="R18" s="107"/>
      <c r="S18" s="3"/>
      <c r="T18" s="107"/>
      <c r="U18" s="107"/>
      <c r="V18" s="107"/>
      <c r="W18" s="107"/>
      <c r="X18" s="107"/>
      <c r="Y18" s="107"/>
      <c r="Z18" s="107"/>
      <c r="AA18" s="107"/>
      <c r="AB18" s="107"/>
      <c r="AC18" s="6"/>
      <c r="AD18" s="1"/>
      <c r="AE18"/>
      <c r="AF18"/>
      <c r="AG18"/>
      <c r="AH18"/>
    </row>
    <row r="19" spans="1:34" s="4" customFormat="1" x14ac:dyDescent="0.3">
      <c r="A19" s="192"/>
      <c r="B19" s="197" t="s">
        <v>122</v>
      </c>
      <c r="C19" s="152" t="s">
        <v>18</v>
      </c>
      <c r="D19" s="153">
        <v>1.3</v>
      </c>
      <c r="E19" s="265">
        <v>0</v>
      </c>
      <c r="F19" s="185">
        <v>50</v>
      </c>
      <c r="G19" s="198">
        <f t="shared" ref="G19:G21" si="0">D19*E19*F19</f>
        <v>0</v>
      </c>
      <c r="H19" s="195"/>
      <c r="I19" s="107"/>
      <c r="J19" s="107"/>
      <c r="K19" s="107"/>
      <c r="L19" s="107"/>
      <c r="M19" s="107"/>
      <c r="N19" s="107"/>
      <c r="O19" s="107"/>
      <c r="P19" s="107"/>
      <c r="Q19" s="3"/>
      <c r="R19" s="107"/>
      <c r="S19" s="3"/>
      <c r="T19" s="107"/>
      <c r="U19" s="107"/>
      <c r="V19" s="107"/>
      <c r="W19" s="107"/>
      <c r="X19" s="107"/>
      <c r="Y19" s="107"/>
      <c r="Z19" s="107"/>
      <c r="AA19" s="107"/>
      <c r="AB19" s="107"/>
      <c r="AC19" s="6"/>
      <c r="AD19" s="1"/>
      <c r="AE19"/>
      <c r="AF19"/>
      <c r="AG19"/>
      <c r="AH19"/>
    </row>
    <row r="20" spans="1:34" s="4" customFormat="1" ht="28.8" x14ac:dyDescent="0.3">
      <c r="A20" s="192"/>
      <c r="B20" s="197" t="s">
        <v>123</v>
      </c>
      <c r="C20" s="152" t="s">
        <v>19</v>
      </c>
      <c r="D20" s="153">
        <v>7.5</v>
      </c>
      <c r="E20" s="153">
        <f>E7</f>
        <v>20</v>
      </c>
      <c r="F20" s="185">
        <v>50</v>
      </c>
      <c r="G20" s="198">
        <f t="shared" si="0"/>
        <v>7500</v>
      </c>
      <c r="H20" s="195"/>
      <c r="I20" s="107"/>
      <c r="J20" s="107"/>
      <c r="K20" s="107"/>
      <c r="L20" s="107"/>
      <c r="M20" s="107"/>
      <c r="N20" s="107"/>
      <c r="O20" s="107"/>
      <c r="P20" s="107"/>
      <c r="Q20" s="3"/>
      <c r="R20" s="107"/>
      <c r="S20" s="3"/>
      <c r="T20" s="107"/>
      <c r="U20" s="107"/>
      <c r="V20" s="107"/>
      <c r="W20" s="107"/>
      <c r="X20" s="107"/>
      <c r="Y20" s="107"/>
      <c r="Z20" s="107"/>
      <c r="AA20" s="107"/>
      <c r="AB20" s="107"/>
      <c r="AC20" s="6"/>
      <c r="AD20" s="1"/>
      <c r="AE20"/>
      <c r="AF20"/>
      <c r="AG20"/>
      <c r="AH20"/>
    </row>
    <row r="21" spans="1:34" s="4" customFormat="1" ht="28.8" x14ac:dyDescent="0.3">
      <c r="A21" s="192"/>
      <c r="B21" s="197" t="s">
        <v>124</v>
      </c>
      <c r="C21" s="152" t="s">
        <v>20</v>
      </c>
      <c r="D21" s="153">
        <v>6.25</v>
      </c>
      <c r="E21" s="261">
        <v>0</v>
      </c>
      <c r="F21" s="185">
        <v>50</v>
      </c>
      <c r="G21" s="198">
        <f t="shared" si="0"/>
        <v>0</v>
      </c>
      <c r="H21" s="195"/>
      <c r="I21" s="107"/>
      <c r="J21" s="107"/>
      <c r="K21" s="107"/>
      <c r="L21" s="107"/>
      <c r="M21" s="107"/>
      <c r="N21" s="107"/>
      <c r="O21" s="107"/>
      <c r="P21" s="107"/>
      <c r="Q21" s="3"/>
      <c r="R21" s="107"/>
      <c r="S21" s="3"/>
      <c r="T21" s="107"/>
      <c r="U21" s="107"/>
      <c r="V21" s="107"/>
      <c r="W21" s="107"/>
      <c r="X21" s="107"/>
      <c r="Y21" s="107"/>
      <c r="Z21" s="107"/>
      <c r="AA21" s="107"/>
      <c r="AB21" s="107"/>
      <c r="AC21" s="6"/>
      <c r="AD21" s="1"/>
      <c r="AE21"/>
      <c r="AF21"/>
      <c r="AG21"/>
      <c r="AH21"/>
    </row>
    <row r="22" spans="1:34" s="4" customFormat="1" ht="43.2" x14ac:dyDescent="0.3">
      <c r="A22" s="192"/>
      <c r="B22" s="186" t="s">
        <v>41</v>
      </c>
      <c r="C22" s="187"/>
      <c r="D22" s="193" t="s">
        <v>42</v>
      </c>
      <c r="E22" s="194" t="s">
        <v>2</v>
      </c>
      <c r="F22" s="280" t="s">
        <v>162</v>
      </c>
      <c r="G22" s="190"/>
      <c r="H22" s="195"/>
      <c r="I22" s="107"/>
      <c r="J22" s="107"/>
      <c r="K22" s="107"/>
      <c r="L22" s="107"/>
      <c r="M22" s="107"/>
      <c r="N22" s="107"/>
      <c r="O22" s="107"/>
      <c r="P22" s="107"/>
      <c r="Q22" s="3"/>
      <c r="R22" s="107"/>
      <c r="S22" s="3"/>
      <c r="T22" s="107"/>
      <c r="U22" s="107"/>
      <c r="V22" s="107"/>
      <c r="W22" s="107"/>
      <c r="X22" s="107"/>
      <c r="Y22" s="107"/>
      <c r="Z22" s="107"/>
      <c r="AA22" s="107"/>
      <c r="AB22" s="107"/>
      <c r="AC22" s="6"/>
      <c r="AD22" s="1"/>
      <c r="AE22"/>
      <c r="AF22"/>
      <c r="AG22"/>
      <c r="AH22"/>
    </row>
    <row r="23" spans="1:34" s="4" customFormat="1" x14ac:dyDescent="0.3">
      <c r="A23" s="192"/>
      <c r="B23" s="197" t="s">
        <v>44</v>
      </c>
      <c r="C23" s="152" t="s">
        <v>7</v>
      </c>
      <c r="D23" s="271">
        <v>50</v>
      </c>
      <c r="E23" s="152">
        <f>E12/10+E7*2</f>
        <v>699.19999999999993</v>
      </c>
      <c r="F23" s="273">
        <v>0</v>
      </c>
      <c r="G23" s="198">
        <f>E23*F23</f>
        <v>0</v>
      </c>
      <c r="H23" s="195"/>
      <c r="I23" s="107"/>
      <c r="J23" s="107"/>
      <c r="K23" s="107"/>
      <c r="L23" s="107"/>
      <c r="M23" s="107"/>
      <c r="N23" s="107"/>
      <c r="O23" s="107"/>
      <c r="P23" s="107"/>
      <c r="Q23" s="3"/>
      <c r="R23" s="107"/>
      <c r="S23" s="3"/>
      <c r="T23" s="107"/>
      <c r="U23" s="107"/>
      <c r="V23" s="107"/>
      <c r="W23" s="107"/>
      <c r="X23" s="107"/>
      <c r="Y23" s="107"/>
      <c r="Z23" s="107"/>
      <c r="AA23" s="107"/>
      <c r="AB23" s="107"/>
      <c r="AC23" s="6"/>
      <c r="AD23" s="1"/>
      <c r="AE23"/>
      <c r="AF23"/>
      <c r="AG23"/>
      <c r="AH23"/>
    </row>
    <row r="24" spans="1:34" s="4" customFormat="1" ht="43.2" x14ac:dyDescent="0.3">
      <c r="A24" s="192"/>
      <c r="B24" s="197" t="s">
        <v>45</v>
      </c>
      <c r="C24" s="152" t="s">
        <v>7</v>
      </c>
      <c r="D24" s="108">
        <v>1000</v>
      </c>
      <c r="E24" s="281">
        <f>E12/60</f>
        <v>109.86666666666665</v>
      </c>
      <c r="F24" s="263">
        <v>0</v>
      </c>
      <c r="G24" s="198">
        <f>E24*F24</f>
        <v>0</v>
      </c>
      <c r="H24" s="195"/>
      <c r="I24" s="107"/>
      <c r="J24" s="107"/>
      <c r="K24" s="107"/>
      <c r="L24" s="107"/>
      <c r="M24" s="107"/>
      <c r="N24" s="107"/>
      <c r="O24" s="107"/>
      <c r="P24" s="107"/>
      <c r="Q24" s="3"/>
      <c r="R24" s="107"/>
      <c r="S24" s="3"/>
      <c r="T24" s="107"/>
      <c r="U24" s="107"/>
      <c r="V24" s="107"/>
      <c r="W24" s="107"/>
      <c r="X24" s="107"/>
      <c r="Y24" s="107"/>
      <c r="Z24" s="107"/>
      <c r="AA24" s="107"/>
      <c r="AB24" s="107"/>
      <c r="AC24" s="6"/>
      <c r="AD24" s="1"/>
      <c r="AE24"/>
      <c r="AF24"/>
      <c r="AG24"/>
      <c r="AH24"/>
    </row>
    <row r="25" spans="1:34" s="4" customFormat="1" ht="28.8" x14ac:dyDescent="0.3">
      <c r="A25" s="192"/>
      <c r="B25" s="197" t="s">
        <v>46</v>
      </c>
      <c r="C25" s="152" t="s">
        <v>7</v>
      </c>
      <c r="D25" s="108">
        <v>1250</v>
      </c>
      <c r="E25" s="281">
        <f>E12/31+E7</f>
        <v>232.64516129032256</v>
      </c>
      <c r="F25" s="263">
        <v>0</v>
      </c>
      <c r="G25" s="198">
        <f>E25*F25</f>
        <v>0</v>
      </c>
      <c r="H25" s="195"/>
      <c r="I25" s="107"/>
      <c r="J25" s="107"/>
      <c r="K25" s="107"/>
      <c r="L25" s="107"/>
      <c r="M25" s="107"/>
      <c r="N25" s="107"/>
      <c r="O25" s="107"/>
      <c r="P25" s="107"/>
      <c r="Q25" s="3"/>
      <c r="R25" s="107"/>
      <c r="S25" s="3"/>
      <c r="T25" s="107"/>
      <c r="U25" s="107"/>
      <c r="V25" s="107"/>
      <c r="W25" s="107"/>
      <c r="X25" s="107"/>
      <c r="Y25" s="107"/>
      <c r="Z25" s="107"/>
      <c r="AA25" s="107"/>
      <c r="AB25" s="107"/>
      <c r="AC25" s="6"/>
      <c r="AD25" s="1"/>
      <c r="AE25"/>
      <c r="AF25"/>
      <c r="AG25"/>
      <c r="AH25"/>
    </row>
    <row r="26" spans="1:34" s="4" customFormat="1" x14ac:dyDescent="0.3">
      <c r="A26" s="192"/>
      <c r="B26" s="197" t="s">
        <v>49</v>
      </c>
      <c r="C26" s="152" t="s">
        <v>35</v>
      </c>
      <c r="D26" s="108">
        <v>100</v>
      </c>
      <c r="E26" s="152">
        <f>E12*3</f>
        <v>19775.999999999996</v>
      </c>
      <c r="F26" s="263">
        <v>0</v>
      </c>
      <c r="G26" s="198">
        <f>E26*F26</f>
        <v>0</v>
      </c>
      <c r="H26" s="195"/>
      <c r="I26" s="107"/>
      <c r="J26" s="107"/>
      <c r="K26" s="107"/>
      <c r="L26" s="107"/>
      <c r="M26" s="107"/>
      <c r="N26" s="107"/>
      <c r="O26" s="107"/>
      <c r="P26" s="107"/>
      <c r="Q26" s="3"/>
      <c r="R26" s="107"/>
      <c r="S26" s="3"/>
      <c r="T26" s="107"/>
      <c r="U26" s="107"/>
      <c r="V26" s="107"/>
      <c r="W26" s="107"/>
      <c r="X26" s="107"/>
      <c r="Y26" s="107"/>
      <c r="Z26" s="107"/>
      <c r="AA26" s="107"/>
      <c r="AB26" s="107"/>
      <c r="AC26" s="6"/>
      <c r="AD26" s="1"/>
      <c r="AE26"/>
      <c r="AF26"/>
      <c r="AG26"/>
      <c r="AH26"/>
    </row>
    <row r="27" spans="1:34" s="4" customFormat="1" x14ac:dyDescent="0.3">
      <c r="A27" s="192"/>
      <c r="B27" s="186" t="s">
        <v>135</v>
      </c>
      <c r="C27" s="187"/>
      <c r="D27" s="193"/>
      <c r="E27" s="283" t="s">
        <v>2</v>
      </c>
      <c r="F27" s="189" t="s">
        <v>129</v>
      </c>
      <c r="G27" s="284"/>
      <c r="H27" s="195"/>
      <c r="I27" s="107"/>
      <c r="J27" s="107"/>
      <c r="K27" s="107"/>
      <c r="L27" s="107"/>
      <c r="M27" s="107"/>
      <c r="N27" s="107"/>
      <c r="O27" s="107"/>
      <c r="P27" s="107"/>
      <c r="Q27" s="3"/>
      <c r="R27" s="107"/>
      <c r="S27" s="3"/>
      <c r="T27" s="107"/>
      <c r="U27" s="107"/>
      <c r="V27" s="107"/>
      <c r="W27" s="107"/>
      <c r="X27" s="107"/>
      <c r="Y27" s="107"/>
      <c r="Z27" s="107"/>
      <c r="AA27" s="107"/>
      <c r="AB27" s="107"/>
      <c r="AC27" s="6"/>
      <c r="AD27" s="1"/>
      <c r="AE27"/>
      <c r="AF27"/>
      <c r="AG27"/>
      <c r="AH27"/>
    </row>
    <row r="28" spans="1:34" s="4" customFormat="1" x14ac:dyDescent="0.3">
      <c r="A28" s="192"/>
      <c r="B28" s="197" t="s">
        <v>136</v>
      </c>
      <c r="C28" s="152"/>
      <c r="D28" s="108"/>
      <c r="E28" s="264">
        <v>0</v>
      </c>
      <c r="F28" s="185">
        <v>150000</v>
      </c>
      <c r="G28" s="285">
        <f>E28*F28</f>
        <v>0</v>
      </c>
      <c r="H28" s="195"/>
      <c r="I28" s="107"/>
      <c r="J28" s="107"/>
      <c r="K28" s="107"/>
      <c r="L28" s="107"/>
      <c r="M28" s="107"/>
      <c r="N28" s="107"/>
      <c r="O28" s="107"/>
      <c r="P28" s="107"/>
      <c r="Q28" s="3"/>
      <c r="R28" s="107"/>
      <c r="S28" s="3"/>
      <c r="T28" s="107"/>
      <c r="U28" s="107"/>
      <c r="V28" s="107"/>
      <c r="W28" s="107"/>
      <c r="X28" s="107"/>
      <c r="Y28" s="107"/>
      <c r="Z28" s="107"/>
      <c r="AA28" s="107"/>
      <c r="AB28" s="107"/>
      <c r="AC28" s="6"/>
      <c r="AD28" s="1"/>
      <c r="AE28"/>
      <c r="AF28"/>
      <c r="AG28"/>
      <c r="AH28"/>
    </row>
    <row r="29" spans="1:34" s="4" customFormat="1" x14ac:dyDescent="0.3">
      <c r="A29" s="192"/>
      <c r="B29" s="286" t="s">
        <v>137</v>
      </c>
      <c r="C29" s="152"/>
      <c r="D29" s="108"/>
      <c r="E29" s="264">
        <v>0</v>
      </c>
      <c r="F29" s="185">
        <v>50000</v>
      </c>
      <c r="G29" s="285">
        <f>E29*F29</f>
        <v>0</v>
      </c>
      <c r="H29" s="195"/>
      <c r="I29" s="107"/>
      <c r="J29" s="107"/>
      <c r="K29" s="107"/>
      <c r="L29" s="107"/>
      <c r="M29" s="107"/>
      <c r="N29" s="107"/>
      <c r="O29" s="107"/>
      <c r="P29" s="107"/>
      <c r="Q29" s="3"/>
      <c r="R29" s="107"/>
      <c r="S29" s="3"/>
      <c r="T29" s="107"/>
      <c r="U29" s="107"/>
      <c r="V29" s="107"/>
      <c r="W29" s="107"/>
      <c r="X29" s="107"/>
      <c r="Y29" s="107"/>
      <c r="Z29" s="107"/>
      <c r="AA29" s="107"/>
      <c r="AB29" s="107"/>
      <c r="AC29" s="6"/>
      <c r="AD29" s="1"/>
      <c r="AE29"/>
      <c r="AF29"/>
      <c r="AG29"/>
      <c r="AH29"/>
    </row>
    <row r="30" spans="1:34" x14ac:dyDescent="0.3">
      <c r="A30" s="192"/>
      <c r="B30" s="186" t="s">
        <v>138</v>
      </c>
      <c r="C30" s="187"/>
      <c r="D30" s="193"/>
      <c r="E30" s="283" t="s">
        <v>2</v>
      </c>
      <c r="F30" s="189" t="s">
        <v>10</v>
      </c>
      <c r="G30" s="190"/>
      <c r="H30" s="195"/>
      <c r="I30" s="393"/>
      <c r="J30" s="393"/>
      <c r="K30" s="393"/>
      <c r="L30" s="393"/>
      <c r="M30" s="393"/>
      <c r="N30" s="393"/>
      <c r="O30" s="393"/>
      <c r="P30" s="393"/>
      <c r="Q30" s="393"/>
      <c r="R30" s="142"/>
      <c r="T30" s="107"/>
      <c r="U30" s="107"/>
      <c r="V30" s="107"/>
      <c r="W30" s="107"/>
      <c r="X30" s="107"/>
      <c r="Y30" s="107"/>
      <c r="Z30" s="107"/>
      <c r="AA30" s="107"/>
      <c r="AB30" s="107"/>
    </row>
    <row r="31" spans="1:34" ht="30" customHeight="1" x14ac:dyDescent="0.3">
      <c r="A31" s="192"/>
      <c r="B31" s="197" t="s">
        <v>56</v>
      </c>
      <c r="C31" s="184" t="s">
        <v>129</v>
      </c>
      <c r="D31" s="108"/>
      <c r="E31" s="266">
        <v>0</v>
      </c>
      <c r="F31" s="185">
        <v>20000</v>
      </c>
      <c r="G31" s="198">
        <f>E31*F31</f>
        <v>0</v>
      </c>
      <c r="H31" s="195"/>
      <c r="I31" s="107"/>
      <c r="J31" s="107"/>
      <c r="K31" s="107"/>
      <c r="L31" s="107"/>
      <c r="M31" s="107"/>
      <c r="N31" s="107"/>
      <c r="O31" s="107"/>
      <c r="P31" s="107"/>
      <c r="R31" s="107"/>
      <c r="T31" s="107"/>
      <c r="U31" s="107"/>
      <c r="V31" s="107"/>
      <c r="W31" s="107"/>
      <c r="X31" s="107"/>
      <c r="Y31" s="107"/>
      <c r="Z31" s="107"/>
      <c r="AA31" s="107"/>
      <c r="AB31" s="107"/>
    </row>
    <row r="32" spans="1:34" ht="15" customHeight="1" x14ac:dyDescent="0.3">
      <c r="A32" s="192"/>
      <c r="B32" s="197" t="s">
        <v>57</v>
      </c>
      <c r="C32" s="152" t="s">
        <v>7</v>
      </c>
      <c r="D32" s="108"/>
      <c r="E32" s="266">
        <v>0</v>
      </c>
      <c r="F32" s="185">
        <v>7500</v>
      </c>
      <c r="G32" s="198">
        <f>E32*F32</f>
        <v>0</v>
      </c>
      <c r="H32" s="195"/>
      <c r="I32" s="107"/>
      <c r="J32" s="107"/>
      <c r="K32" s="107"/>
      <c r="L32" s="107"/>
      <c r="M32" s="107"/>
      <c r="N32" s="107"/>
      <c r="O32" s="107"/>
      <c r="P32" s="107"/>
      <c r="R32" s="107"/>
      <c r="T32" s="107"/>
      <c r="U32" s="107"/>
      <c r="V32" s="107"/>
      <c r="W32" s="107"/>
      <c r="X32" s="107"/>
      <c r="Y32" s="107"/>
      <c r="Z32" s="107"/>
      <c r="AA32" s="107"/>
      <c r="AB32" s="107"/>
    </row>
    <row r="33" spans="1:34" ht="15" customHeight="1" x14ac:dyDescent="0.3">
      <c r="A33" s="192"/>
      <c r="B33" s="197" t="s">
        <v>58</v>
      </c>
      <c r="C33" s="152" t="s">
        <v>7</v>
      </c>
      <c r="D33" s="108"/>
      <c r="E33" s="264">
        <v>0</v>
      </c>
      <c r="F33" s="185">
        <v>10000</v>
      </c>
      <c r="G33" s="198">
        <f>E33*F33</f>
        <v>0</v>
      </c>
      <c r="H33" s="195"/>
      <c r="I33" s="107"/>
      <c r="J33" s="107"/>
      <c r="K33" s="107"/>
      <c r="L33" s="107"/>
      <c r="M33" s="107"/>
      <c r="N33" s="107"/>
      <c r="O33" s="107"/>
      <c r="P33" s="107"/>
      <c r="R33" s="107"/>
      <c r="T33" s="107"/>
      <c r="U33" s="107"/>
      <c r="V33" s="107"/>
      <c r="W33" s="107"/>
      <c r="X33" s="107"/>
      <c r="Y33" s="107"/>
      <c r="Z33" s="107"/>
      <c r="AA33" s="107"/>
      <c r="AB33" s="107"/>
    </row>
    <row r="34" spans="1:34" ht="15" customHeight="1" x14ac:dyDescent="0.3">
      <c r="A34" s="192"/>
      <c r="B34" s="197" t="s">
        <v>61</v>
      </c>
      <c r="C34" s="152" t="s">
        <v>7</v>
      </c>
      <c r="D34" s="108"/>
      <c r="E34" s="264">
        <v>0</v>
      </c>
      <c r="F34" s="185">
        <v>7500</v>
      </c>
      <c r="G34" s="198">
        <f>E34*F34</f>
        <v>0</v>
      </c>
      <c r="H34" s="195"/>
      <c r="I34" s="107"/>
      <c r="J34" s="107"/>
      <c r="K34" s="107"/>
      <c r="L34" s="107"/>
      <c r="M34" s="107"/>
      <c r="N34" s="107"/>
      <c r="O34" s="107"/>
      <c r="P34" s="107"/>
      <c r="R34" s="107"/>
      <c r="T34" s="107"/>
      <c r="U34" s="107"/>
      <c r="V34" s="107"/>
      <c r="W34" s="107"/>
      <c r="X34" s="107"/>
      <c r="Y34" s="107"/>
      <c r="Z34" s="107"/>
      <c r="AA34" s="107"/>
      <c r="AB34" s="107"/>
    </row>
    <row r="35" spans="1:34" s="4" customFormat="1" ht="15" customHeight="1" x14ac:dyDescent="0.3">
      <c r="A35" s="192"/>
      <c r="B35" s="201" t="s">
        <v>21</v>
      </c>
      <c r="C35" s="202"/>
      <c r="D35" s="203"/>
      <c r="E35" s="204"/>
      <c r="F35" s="205"/>
      <c r="G35" s="206">
        <f>SUM(G11:G34)</f>
        <v>613540</v>
      </c>
      <c r="H35" s="195"/>
      <c r="I35" s="107"/>
      <c r="J35" s="107"/>
      <c r="K35" s="107"/>
      <c r="L35" s="107"/>
      <c r="M35" s="107"/>
      <c r="N35" s="107"/>
      <c r="O35" s="107"/>
      <c r="P35" s="107"/>
      <c r="Q35" s="3"/>
      <c r="R35" s="107"/>
      <c r="S35" s="3"/>
      <c r="T35" s="107"/>
      <c r="U35" s="107"/>
      <c r="V35" s="107"/>
      <c r="W35" s="107"/>
      <c r="X35" s="107"/>
      <c r="Y35" s="107"/>
      <c r="Z35" s="107"/>
      <c r="AA35" s="107"/>
      <c r="AB35" s="107"/>
      <c r="AC35" s="6"/>
      <c r="AD35" s="1"/>
      <c r="AE35"/>
      <c r="AF35"/>
      <c r="AG35"/>
      <c r="AH35"/>
    </row>
    <row r="36" spans="1:34" s="4" customFormat="1" ht="15" customHeight="1" x14ac:dyDescent="0.3">
      <c r="A36" s="192"/>
      <c r="B36" s="207"/>
      <c r="C36" s="208"/>
      <c r="D36" s="209"/>
      <c r="E36" s="210"/>
      <c r="F36" s="211"/>
      <c r="G36" s="212"/>
      <c r="H36" s="195"/>
      <c r="I36" s="107"/>
      <c r="J36" s="107"/>
      <c r="K36" s="107"/>
      <c r="L36" s="107"/>
      <c r="M36" s="107"/>
      <c r="N36" s="107"/>
      <c r="O36" s="107"/>
      <c r="P36" s="107"/>
      <c r="Q36" s="3"/>
      <c r="R36" s="107"/>
      <c r="S36" s="3"/>
      <c r="T36" s="107"/>
      <c r="U36" s="107"/>
      <c r="V36" s="107"/>
      <c r="W36" s="107"/>
      <c r="X36" s="107"/>
      <c r="Y36" s="107"/>
      <c r="Z36" s="107"/>
      <c r="AA36" s="107"/>
      <c r="AB36" s="107"/>
      <c r="AC36" s="6"/>
      <c r="AD36" s="1"/>
      <c r="AE36"/>
      <c r="AF36"/>
      <c r="AG36"/>
      <c r="AH36"/>
    </row>
    <row r="37" spans="1:34" s="4" customFormat="1" ht="15" customHeight="1" x14ac:dyDescent="0.3">
      <c r="A37" s="192"/>
      <c r="B37" s="213" t="s">
        <v>22</v>
      </c>
      <c r="C37" s="390" t="s">
        <v>23</v>
      </c>
      <c r="D37" s="390"/>
      <c r="E37" s="390"/>
      <c r="F37" s="214">
        <v>0.1</v>
      </c>
      <c r="G37" s="215">
        <f>G35*F37</f>
        <v>61354</v>
      </c>
      <c r="H37" s="195"/>
      <c r="I37" s="107"/>
      <c r="J37" s="107"/>
      <c r="K37" s="107"/>
      <c r="L37" s="107"/>
      <c r="M37" s="107"/>
      <c r="N37" s="107"/>
      <c r="O37" s="107"/>
      <c r="P37" s="107"/>
      <c r="Q37" s="3"/>
      <c r="R37" s="107"/>
      <c r="S37" s="3"/>
      <c r="T37" s="107"/>
      <c r="U37" s="107"/>
      <c r="V37" s="107"/>
      <c r="W37" s="107"/>
      <c r="X37" s="107"/>
      <c r="Y37" s="107"/>
      <c r="Z37" s="107"/>
      <c r="AA37" s="107"/>
      <c r="AB37" s="107"/>
      <c r="AC37" s="6"/>
      <c r="AD37" s="1"/>
      <c r="AE37"/>
      <c r="AF37"/>
      <c r="AG37"/>
      <c r="AH37"/>
    </row>
    <row r="38" spans="1:34" s="4" customFormat="1" ht="15" customHeight="1" x14ac:dyDescent="0.3">
      <c r="A38" s="192"/>
      <c r="B38" s="207" t="s">
        <v>24</v>
      </c>
      <c r="C38" s="208"/>
      <c r="D38" s="216"/>
      <c r="E38" s="217"/>
      <c r="F38" s="218"/>
      <c r="G38" s="212">
        <f>SUM(G35:G37)</f>
        <v>674894</v>
      </c>
      <c r="H38" s="195"/>
      <c r="I38" s="107"/>
      <c r="J38" s="107"/>
      <c r="K38" s="107"/>
      <c r="L38" s="107"/>
      <c r="M38" s="107"/>
      <c r="N38" s="107"/>
      <c r="O38" s="107"/>
      <c r="P38" s="107"/>
      <c r="Q38" s="3"/>
      <c r="R38" s="107"/>
      <c r="S38" s="3"/>
      <c r="T38" s="107"/>
      <c r="U38" s="107"/>
      <c r="V38" s="107"/>
      <c r="W38" s="107"/>
      <c r="X38" s="107"/>
      <c r="Y38" s="107"/>
      <c r="Z38" s="107"/>
      <c r="AA38" s="107"/>
      <c r="AB38" s="107"/>
      <c r="AC38" s="6"/>
      <c r="AD38" s="1"/>
      <c r="AE38"/>
      <c r="AF38"/>
      <c r="AG38"/>
      <c r="AH38"/>
    </row>
    <row r="39" spans="1:34" s="4" customFormat="1" ht="15" customHeight="1" x14ac:dyDescent="0.3">
      <c r="A39" s="192"/>
      <c r="B39" s="219" t="s">
        <v>25</v>
      </c>
      <c r="C39" s="391" t="s">
        <v>23</v>
      </c>
      <c r="D39" s="391"/>
      <c r="E39" s="391"/>
      <c r="F39" s="220">
        <v>0.1</v>
      </c>
      <c r="G39" s="221">
        <f>G38*F39</f>
        <v>67489.400000000009</v>
      </c>
      <c r="H39" s="195"/>
      <c r="I39" s="107"/>
      <c r="J39" s="107"/>
      <c r="K39" s="107"/>
      <c r="L39" s="107"/>
      <c r="M39" s="107"/>
      <c r="N39" s="107"/>
      <c r="O39" s="107"/>
      <c r="P39" s="107"/>
      <c r="Q39" s="3"/>
      <c r="R39" s="107"/>
      <c r="S39" s="3"/>
      <c r="T39" s="107"/>
      <c r="U39" s="107"/>
      <c r="V39" s="107"/>
      <c r="W39" s="107"/>
      <c r="X39" s="107"/>
      <c r="Y39" s="107"/>
      <c r="Z39" s="107"/>
      <c r="AA39" s="107"/>
      <c r="AB39" s="107"/>
      <c r="AC39" s="6"/>
      <c r="AD39" s="1"/>
      <c r="AE39"/>
      <c r="AF39"/>
      <c r="AG39"/>
      <c r="AH39"/>
    </row>
    <row r="40" spans="1:34" s="4" customFormat="1" ht="15" customHeight="1" thickBot="1" x14ac:dyDescent="0.35">
      <c r="A40" s="192"/>
      <c r="B40" s="222" t="s">
        <v>21</v>
      </c>
      <c r="C40" s="223"/>
      <c r="D40" s="224"/>
      <c r="E40" s="225"/>
      <c r="F40" s="226"/>
      <c r="G40" s="227">
        <f>SUM(G38:G39)</f>
        <v>742383.4</v>
      </c>
      <c r="H40" s="195"/>
      <c r="I40" s="107"/>
      <c r="J40" s="107"/>
      <c r="K40" s="107"/>
      <c r="L40" s="107"/>
      <c r="M40" s="107"/>
      <c r="N40" s="107"/>
      <c r="O40" s="107"/>
      <c r="P40" s="107"/>
      <c r="Q40" s="3"/>
      <c r="R40" s="107"/>
      <c r="S40" s="3"/>
      <c r="T40" s="107"/>
      <c r="U40" s="107"/>
      <c r="V40" s="107"/>
      <c r="W40" s="107"/>
      <c r="X40" s="107"/>
      <c r="Y40" s="107"/>
      <c r="Z40" s="107"/>
      <c r="AA40" s="107"/>
      <c r="AB40" s="107"/>
      <c r="AC40" s="6"/>
      <c r="AD40" s="1"/>
      <c r="AE40"/>
      <c r="AF40"/>
      <c r="AG40"/>
      <c r="AH40"/>
    </row>
    <row r="41" spans="1:34" s="4" customFormat="1" ht="15" customHeight="1" thickTop="1" x14ac:dyDescent="0.3">
      <c r="A41" s="192"/>
      <c r="B41" s="213" t="s">
        <v>26</v>
      </c>
      <c r="C41" s="392" t="s">
        <v>27</v>
      </c>
      <c r="D41" s="392"/>
      <c r="E41" s="392"/>
      <c r="F41" s="214">
        <v>0.25</v>
      </c>
      <c r="G41" s="228">
        <f>G40*F41</f>
        <v>185595.85</v>
      </c>
      <c r="H41" s="195"/>
      <c r="I41" s="107"/>
      <c r="J41" s="107"/>
      <c r="K41" s="107"/>
      <c r="L41" s="107"/>
      <c r="M41" s="107"/>
      <c r="N41" s="107"/>
      <c r="O41" s="107"/>
      <c r="P41" s="107"/>
      <c r="Q41" s="3"/>
      <c r="R41" s="107"/>
      <c r="S41" s="3"/>
      <c r="T41" s="107"/>
      <c r="U41" s="107"/>
      <c r="V41" s="107"/>
      <c r="W41" s="107"/>
      <c r="X41" s="107"/>
      <c r="Y41" s="107"/>
      <c r="Z41" s="107"/>
      <c r="AA41" s="107"/>
      <c r="AB41" s="107"/>
      <c r="AC41" s="6"/>
      <c r="AD41" s="1"/>
      <c r="AE41"/>
      <c r="AF41"/>
      <c r="AG41"/>
      <c r="AH41"/>
    </row>
    <row r="42" spans="1:34" s="4" customFormat="1" ht="15" customHeight="1" thickBot="1" x14ac:dyDescent="0.35">
      <c r="A42" s="192"/>
      <c r="B42" s="229" t="s">
        <v>28</v>
      </c>
      <c r="C42" s="385" t="s">
        <v>86</v>
      </c>
      <c r="D42" s="385"/>
      <c r="E42" s="385"/>
      <c r="F42" s="230">
        <v>0.1</v>
      </c>
      <c r="G42" s="231">
        <f>G41*F42</f>
        <v>18559.585000000003</v>
      </c>
      <c r="H42" s="195"/>
      <c r="I42" s="107"/>
      <c r="J42" s="107"/>
      <c r="K42" s="107"/>
      <c r="L42" s="107"/>
      <c r="M42" s="107"/>
      <c r="N42" s="107"/>
      <c r="O42" s="107"/>
      <c r="P42" s="107"/>
      <c r="Q42" s="3"/>
      <c r="R42" s="107"/>
      <c r="S42" s="3"/>
      <c r="T42" s="107"/>
      <c r="U42" s="107"/>
      <c r="V42" s="107"/>
      <c r="W42" s="107"/>
      <c r="X42" s="107"/>
      <c r="Y42" s="107"/>
      <c r="Z42" s="107"/>
      <c r="AA42" s="107"/>
      <c r="AB42" s="107"/>
      <c r="AC42" s="6"/>
      <c r="AD42" s="1"/>
      <c r="AE42"/>
      <c r="AF42"/>
      <c r="AG42"/>
      <c r="AH42"/>
    </row>
    <row r="43" spans="1:34" s="4" customFormat="1" ht="15" customHeight="1" thickTop="1" x14ac:dyDescent="0.3">
      <c r="A43" s="192"/>
      <c r="B43" s="232"/>
      <c r="C43" s="233"/>
      <c r="D43" s="234"/>
      <c r="E43" s="235"/>
      <c r="F43" s="182"/>
      <c r="G43" s="236"/>
      <c r="H43" s="195"/>
      <c r="I43" s="107"/>
      <c r="J43" s="107"/>
      <c r="K43" s="107"/>
      <c r="L43" s="107"/>
      <c r="M43" s="107"/>
      <c r="N43" s="107"/>
      <c r="O43" s="107"/>
      <c r="P43" s="107"/>
      <c r="Q43" s="3"/>
      <c r="R43" s="107"/>
      <c r="S43" s="3"/>
      <c r="T43" s="107"/>
      <c r="U43" s="107"/>
      <c r="V43" s="107"/>
      <c r="W43" s="107"/>
      <c r="X43" s="107"/>
      <c r="Y43" s="107"/>
      <c r="Z43" s="107"/>
      <c r="AA43" s="107"/>
      <c r="AB43" s="107"/>
      <c r="AC43" s="6"/>
      <c r="AD43" s="1"/>
      <c r="AE43"/>
      <c r="AF43"/>
      <c r="AG43"/>
      <c r="AH43"/>
    </row>
    <row r="44" spans="1:34" s="4" customFormat="1" ht="15" customHeight="1" thickBot="1" x14ac:dyDescent="0.35">
      <c r="A44" s="192"/>
      <c r="B44" s="237" t="s">
        <v>30</v>
      </c>
      <c r="C44" s="238"/>
      <c r="D44" s="239"/>
      <c r="E44" s="240"/>
      <c r="F44" s="241"/>
      <c r="G44" s="242">
        <f>SUM(G40,G41,G42)</f>
        <v>946538.83499999996</v>
      </c>
      <c r="H44" s="195"/>
      <c r="I44" s="107"/>
      <c r="J44" s="107"/>
      <c r="K44" s="107"/>
      <c r="L44" s="107"/>
      <c r="M44" s="107"/>
      <c r="N44" s="107"/>
      <c r="O44" s="107"/>
      <c r="P44" s="107"/>
      <c r="Q44" s="3"/>
      <c r="R44" s="107"/>
      <c r="S44" s="3"/>
      <c r="T44" s="107"/>
      <c r="U44" s="107"/>
      <c r="V44" s="107"/>
      <c r="W44" s="107"/>
      <c r="X44" s="107"/>
      <c r="Y44" s="107"/>
      <c r="Z44" s="107"/>
      <c r="AA44" s="107"/>
      <c r="AB44" s="107"/>
      <c r="AC44" s="6"/>
      <c r="AD44" s="1"/>
      <c r="AE44"/>
      <c r="AF44"/>
      <c r="AG44"/>
      <c r="AH44"/>
    </row>
    <row r="45" spans="1:34" x14ac:dyDescent="0.3">
      <c r="A45" s="192"/>
      <c r="B45" s="170"/>
      <c r="C45" s="195"/>
      <c r="D45" s="195"/>
      <c r="E45" s="168"/>
      <c r="F45" s="168"/>
      <c r="G45" s="168"/>
      <c r="H45" s="195"/>
    </row>
    <row r="46" spans="1:34" x14ac:dyDescent="0.3">
      <c r="A46" s="192"/>
      <c r="B46" s="170"/>
      <c r="C46" s="195"/>
      <c r="D46" s="195"/>
      <c r="E46" s="168"/>
      <c r="F46" s="168"/>
      <c r="G46" s="168"/>
      <c r="H46" s="195"/>
    </row>
  </sheetData>
  <sheetProtection sheet="1" objects="1" scenarios="1"/>
  <mergeCells count="7">
    <mergeCell ref="I30:Q30"/>
    <mergeCell ref="C42:E42"/>
    <mergeCell ref="B2:G2"/>
    <mergeCell ref="B3:G3"/>
    <mergeCell ref="C37:E37"/>
    <mergeCell ref="C39:E39"/>
    <mergeCell ref="C41:E41"/>
  </mergeCells>
  <dataValidations xWindow="358" yWindow="811" count="9">
    <dataValidation allowBlank="1" showInputMessage="1" showErrorMessage="1" promptTitle="Active Unit Cost Field" prompt="Select separation and traffic calming features by adding cost to the &quot;Active Unit Cost&quot; field. The quantity for separation is automatically calculated based on project length, number of intersections and intersection width.  _x000a_" sqref="F23:F26" xr:uid="{893A8843-E44B-407B-83E8-BDE2A547CE88}"/>
    <dataValidation allowBlank="1" showInputMessage="1" showErrorMessage="1" promptTitle="Passive Unit Cost Field" prompt="The &quot;Passive Unit Cost&quot; is a locked cell which states the current unit price for each feature.  In the &quot;Active Unit Cost&quot; cell, type &quot;=&quot; and select the same &quot;Passive Unit Cost&quot; of the same feature.  The subtotal will automatically update. _x000a_" sqref="D23" xr:uid="{936D2387-E306-472D-BF22-657E466A04A0}"/>
    <dataValidation allowBlank="1" showInputMessage="1" showErrorMessage="1" promptTitle="Full Intersection Improvement" prompt="Signal improvements vary in complexity of intersection.  A full intersection improvement involves installaton of new signal systems and relocation of existing features such as poles and cabinets. _x000a_" sqref="E28" xr:uid="{61A66DF4-C86F-484C-91E6-312D8757DED6}"/>
    <dataValidation allowBlank="1" showInputMessage="1" showErrorMessage="1" promptTitle="Partial Intersection Improvement" prompt="A partial intersection improvement involves installation of new bicycle signals on existing poles and no relocation of existing features. _x000a_" sqref="G29" xr:uid="{53247E8B-7657-4067-B53B-214B1BA7BD25}"/>
    <dataValidation allowBlank="1" showInputMessage="1" showErrorMessage="1" prompt="Creating two-way protected bikeways often involves minor intersection reconstruction with curb extensions or transit stop adjustments.  Manually enter the quantity desired to add features to the project. _x000a_" sqref="E31" xr:uid="{0AB7AAB0-4DB2-4FB3-80A9-530A16D3FF27}"/>
    <dataValidation allowBlank="1" showInputMessage="1" showErrorMessage="1" promptTitle="Bike Lane Ahead" prompt="Enter additional quanities for this type of sign, if desired or required." sqref="E18" xr:uid="{1048B219-D1FE-4785-AE96-E82DF8AA7D8F}"/>
    <dataValidation allowBlank="1" showInputMessage="1" showErrorMessage="1" promptTitle="Bike Lane Ends" prompt="Enter additional quanities for this type of sign, if desired or required." sqref="E19" xr:uid="{69D28EAB-E70F-47D3-AF92-EA0205C43350}"/>
    <dataValidation allowBlank="1" showInputMessage="1" showErrorMessage="1" promptTitle="Bikes May Use Full Lane" prompt="Enter additional quanities for this type of sign, if desired or required." sqref="E21" xr:uid="{01C041AD-3CBC-43FB-9105-8EE969654250}"/>
    <dataValidation allowBlank="1" showInputMessage="1" showErrorMessage="1" promptTitle="Partial Intersection Improvement" prompt="A partial intersection improvement involves installation of new bicycle signals on existing poles and no relocation of existing features. " sqref="E29" xr:uid="{C9983224-FD20-435D-9D2A-A429D6686114}"/>
  </dataValidations>
  <pageMargins left="0.25" right="0.25" top="0.75" bottom="0.75" header="0.3" footer="0.3"/>
  <pageSetup paperSize="3" scale="78" fitToHeight="0" orientation="landscape" r:id="rId1"/>
  <ignoredErrors>
    <ignoredError sqref="G4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CC2C-D879-425F-B4C6-495A52C359F3}">
  <sheetPr>
    <pageSetUpPr fitToPage="1"/>
  </sheetPr>
  <dimension ref="A1:AH44"/>
  <sheetViews>
    <sheetView zoomScaleNormal="100" workbookViewId="0">
      <selection activeCell="G39" sqref="G39"/>
    </sheetView>
  </sheetViews>
  <sheetFormatPr defaultRowHeight="14.4" x14ac:dyDescent="0.3"/>
  <cols>
    <col min="1" max="1" width="8.6640625" style="2" customWidth="1"/>
    <col min="2" max="2" width="26" style="1" customWidth="1"/>
    <col min="3" max="3" width="11.6640625" style="4" customWidth="1"/>
    <col min="4" max="4" width="8.6640625" style="4" customWidth="1"/>
    <col min="5" max="5" width="12.33203125" style="3" customWidth="1"/>
    <col min="6" max="6" width="24.6640625" style="3" customWidth="1"/>
    <col min="7" max="7" width="11.109375" style="3" customWidth="1"/>
    <col min="8" max="8" width="13.88671875" style="4" customWidth="1"/>
    <col min="9" max="9" width="30.6640625" style="105" customWidth="1"/>
    <col min="10" max="10" width="25.88671875" style="105" customWidth="1"/>
    <col min="11" max="11" width="14" style="105" customWidth="1"/>
    <col min="12" max="16" width="12.6640625" style="105" customWidth="1"/>
    <col min="17" max="17" width="14.44140625" style="3" bestFit="1" customWidth="1"/>
    <col min="18" max="18" width="12.6640625" style="105" customWidth="1"/>
    <col min="19" max="19" width="10.5546875" style="3" customWidth="1"/>
    <col min="20" max="23" width="12.6640625" style="105" customWidth="1"/>
    <col min="24" max="24" width="14.33203125" style="105" customWidth="1"/>
    <col min="25" max="26" width="12.6640625" style="105" customWidth="1"/>
    <col min="27" max="27" width="15.33203125" style="105" customWidth="1"/>
    <col min="28" max="28" width="12.6640625" style="105" customWidth="1"/>
    <col min="29" max="29" width="12.6640625" style="6" customWidth="1"/>
    <col min="30" max="30" width="23" style="1" customWidth="1"/>
    <col min="32" max="32" width="9.5546875" bestFit="1" customWidth="1"/>
    <col min="33" max="33" width="11.6640625" bestFit="1" customWidth="1"/>
  </cols>
  <sheetData>
    <row r="1" spans="1:34" ht="15" thickBot="1" x14ac:dyDescent="0.35">
      <c r="A1" s="154"/>
      <c r="B1" s="155"/>
      <c r="C1" s="156"/>
      <c r="D1" s="157"/>
      <c r="E1" s="158"/>
      <c r="F1" s="158"/>
      <c r="G1" s="158"/>
      <c r="H1" s="156"/>
      <c r="I1" s="11"/>
      <c r="J1" s="22"/>
      <c r="K1" s="22"/>
      <c r="L1" s="11"/>
      <c r="M1" s="11"/>
      <c r="N1" s="22"/>
      <c r="O1" s="11"/>
      <c r="P1" s="11"/>
      <c r="Q1" s="9"/>
      <c r="R1" s="11"/>
      <c r="S1" s="9"/>
      <c r="T1" s="11"/>
      <c r="U1" s="11"/>
      <c r="V1" s="11"/>
      <c r="W1" s="11"/>
      <c r="X1" s="11"/>
      <c r="Y1" s="11"/>
      <c r="Z1" s="11"/>
      <c r="AA1" s="11"/>
      <c r="AB1" s="11"/>
      <c r="AC1" s="21"/>
      <c r="AD1" s="19"/>
      <c r="AF1" s="13"/>
      <c r="AG1" s="12"/>
    </row>
    <row r="2" spans="1:34" ht="61.95" customHeight="1" x14ac:dyDescent="0.3">
      <c r="A2" s="166"/>
      <c r="B2" s="386" t="s">
        <v>50</v>
      </c>
      <c r="C2" s="387"/>
      <c r="D2" s="387"/>
      <c r="E2" s="387"/>
      <c r="F2" s="387"/>
      <c r="G2" s="388"/>
      <c r="H2" s="166"/>
      <c r="I2" s="262" t="s">
        <v>161</v>
      </c>
      <c r="J2" s="135"/>
      <c r="K2" s="138"/>
      <c r="L2" s="138"/>
      <c r="M2" s="138"/>
      <c r="N2" s="138"/>
      <c r="O2" s="138"/>
      <c r="P2" s="138"/>
      <c r="Q2" s="138"/>
      <c r="R2" s="16"/>
      <c r="T2" s="107"/>
      <c r="U2" s="107"/>
      <c r="V2" s="107"/>
      <c r="W2" s="107"/>
      <c r="X2" s="107"/>
      <c r="Y2" s="107"/>
      <c r="Z2" s="107"/>
      <c r="AA2" s="107"/>
      <c r="AB2" s="107"/>
    </row>
    <row r="3" spans="1:34" s="105" customFormat="1" ht="30.75" customHeight="1" thickBot="1" x14ac:dyDescent="0.35">
      <c r="A3" s="166"/>
      <c r="B3" s="389" t="s">
        <v>128</v>
      </c>
      <c r="C3" s="389"/>
      <c r="D3" s="389"/>
      <c r="E3" s="389"/>
      <c r="F3" s="389"/>
      <c r="G3" s="389"/>
      <c r="H3" s="166"/>
      <c r="I3" s="138"/>
      <c r="J3" s="138"/>
      <c r="K3" s="138"/>
      <c r="L3" s="138"/>
      <c r="M3" s="138"/>
      <c r="N3" s="138"/>
      <c r="O3" s="138"/>
      <c r="P3" s="138"/>
      <c r="Q3" s="138"/>
      <c r="R3" s="16"/>
      <c r="S3" s="3"/>
      <c r="T3" s="107"/>
      <c r="U3" s="107"/>
      <c r="V3" s="107"/>
      <c r="W3" s="107"/>
      <c r="X3" s="107"/>
      <c r="Y3" s="107"/>
      <c r="Z3" s="107"/>
      <c r="AA3" s="107"/>
      <c r="AB3" s="107"/>
      <c r="AC3" s="6"/>
      <c r="AD3" s="1"/>
      <c r="AE3"/>
      <c r="AF3"/>
      <c r="AG3"/>
      <c r="AH3"/>
    </row>
    <row r="4" spans="1:34" s="105" customFormat="1" x14ac:dyDescent="0.3">
      <c r="A4" s="166"/>
      <c r="B4" s="171" t="s">
        <v>1</v>
      </c>
      <c r="C4" s="172"/>
      <c r="D4" s="172"/>
      <c r="E4" s="173" t="s">
        <v>2</v>
      </c>
      <c r="F4" s="174"/>
      <c r="G4" s="175"/>
      <c r="H4" s="166"/>
      <c r="I4" s="136"/>
      <c r="J4" s="16"/>
      <c r="K4" s="16"/>
      <c r="L4" s="16"/>
      <c r="M4" s="16"/>
      <c r="N4" s="16"/>
      <c r="O4" s="16"/>
      <c r="P4" s="16"/>
      <c r="Q4" s="9"/>
      <c r="R4" s="16"/>
      <c r="S4" s="3"/>
      <c r="T4" s="107"/>
      <c r="U4" s="107"/>
      <c r="V4" s="107"/>
      <c r="W4" s="107"/>
      <c r="X4" s="107"/>
      <c r="Y4" s="107"/>
      <c r="Z4" s="107"/>
      <c r="AA4" s="107"/>
      <c r="AB4" s="107"/>
      <c r="AC4" s="6"/>
      <c r="AD4" s="1"/>
      <c r="AE4"/>
      <c r="AF4"/>
      <c r="AG4"/>
      <c r="AH4"/>
    </row>
    <row r="5" spans="1:34" s="105" customFormat="1" ht="15.6" x14ac:dyDescent="0.3">
      <c r="A5" s="166"/>
      <c r="B5" s="176" t="s">
        <v>3</v>
      </c>
      <c r="C5" s="177" t="s">
        <v>4</v>
      </c>
      <c r="D5" s="178"/>
      <c r="E5" s="151">
        <f>E6*5280</f>
        <v>8976</v>
      </c>
      <c r="F5" s="177"/>
      <c r="G5" s="179"/>
      <c r="H5" s="166"/>
      <c r="I5" s="136"/>
      <c r="J5" s="16"/>
      <c r="K5" s="16"/>
      <c r="L5" s="16"/>
      <c r="M5" s="16"/>
      <c r="N5" s="16"/>
      <c r="O5" s="16"/>
      <c r="P5" s="16"/>
      <c r="Q5" s="9"/>
      <c r="R5" s="16"/>
      <c r="S5" s="3"/>
      <c r="T5" s="107"/>
      <c r="U5" s="107"/>
      <c r="V5" s="107"/>
      <c r="W5" s="107"/>
      <c r="X5" s="107"/>
      <c r="Y5" s="107"/>
      <c r="Z5" s="107"/>
      <c r="AA5" s="107"/>
      <c r="AB5" s="107"/>
      <c r="AC5" s="6"/>
      <c r="AD5" s="1"/>
      <c r="AE5"/>
      <c r="AF5"/>
      <c r="AG5"/>
      <c r="AH5"/>
    </row>
    <row r="6" spans="1:34" s="105" customFormat="1" ht="15.6" x14ac:dyDescent="0.3">
      <c r="A6" s="166"/>
      <c r="B6" s="176" t="s">
        <v>3</v>
      </c>
      <c r="C6" s="177" t="s">
        <v>5</v>
      </c>
      <c r="D6" s="178"/>
      <c r="E6" s="258">
        <v>1.7</v>
      </c>
      <c r="F6" s="177"/>
      <c r="G6" s="179"/>
      <c r="H6" s="166"/>
      <c r="I6" s="136"/>
      <c r="J6" s="16"/>
      <c r="K6" s="16"/>
      <c r="L6" s="16"/>
      <c r="M6" s="16"/>
      <c r="N6" s="16"/>
      <c r="O6" s="16"/>
      <c r="P6" s="16"/>
      <c r="Q6" s="9"/>
      <c r="R6" s="16"/>
      <c r="S6" s="3"/>
      <c r="T6" s="107"/>
      <c r="U6" s="107"/>
      <c r="V6" s="107"/>
      <c r="W6" s="107"/>
      <c r="X6" s="107"/>
      <c r="Y6" s="107"/>
      <c r="Z6" s="107"/>
      <c r="AA6" s="107"/>
      <c r="AB6" s="107"/>
      <c r="AC6" s="6"/>
      <c r="AD6" s="1"/>
      <c r="AE6"/>
      <c r="AF6"/>
      <c r="AG6"/>
      <c r="AH6"/>
    </row>
    <row r="7" spans="1:34" s="105" customFormat="1" ht="15.6" x14ac:dyDescent="0.3">
      <c r="A7" s="166"/>
      <c r="B7" s="180" t="s">
        <v>6</v>
      </c>
      <c r="C7" s="181" t="s">
        <v>7</v>
      </c>
      <c r="D7" s="178"/>
      <c r="E7" s="259">
        <v>21</v>
      </c>
      <c r="F7" s="182"/>
      <c r="G7" s="179"/>
      <c r="H7" s="166"/>
      <c r="I7" s="136"/>
      <c r="J7" s="16"/>
      <c r="K7" s="16"/>
      <c r="L7" s="16"/>
      <c r="M7" s="16"/>
      <c r="N7" s="16"/>
      <c r="O7" s="16"/>
      <c r="P7" s="16"/>
      <c r="Q7" s="9"/>
      <c r="R7" s="16"/>
      <c r="S7" s="3"/>
      <c r="T7" s="107"/>
      <c r="U7" s="107"/>
      <c r="V7" s="107"/>
      <c r="W7" s="107"/>
      <c r="X7" s="107"/>
      <c r="Y7" s="107"/>
      <c r="Z7" s="107"/>
      <c r="AA7" s="107"/>
      <c r="AB7" s="107"/>
      <c r="AC7" s="6"/>
      <c r="AD7" s="1"/>
      <c r="AE7"/>
      <c r="AF7"/>
      <c r="AG7"/>
      <c r="AH7"/>
    </row>
    <row r="8" spans="1:34" s="105" customFormat="1" ht="15.6" x14ac:dyDescent="0.3">
      <c r="A8" s="166"/>
      <c r="B8" s="183" t="s">
        <v>8</v>
      </c>
      <c r="C8" s="184" t="s">
        <v>4</v>
      </c>
      <c r="D8" s="178"/>
      <c r="E8" s="259">
        <v>40</v>
      </c>
      <c r="F8" s="182"/>
      <c r="G8" s="179"/>
      <c r="H8" s="166"/>
      <c r="I8" s="136"/>
      <c r="J8" s="16"/>
      <c r="K8" s="16"/>
      <c r="L8" s="16"/>
      <c r="M8" s="16"/>
      <c r="N8" s="16"/>
      <c r="O8" s="16"/>
      <c r="P8" s="16"/>
      <c r="Q8" s="9"/>
      <c r="R8" s="16"/>
      <c r="S8" s="3"/>
      <c r="T8" s="107"/>
      <c r="U8" s="107"/>
      <c r="V8" s="107"/>
      <c r="W8" s="107"/>
      <c r="X8" s="107"/>
      <c r="Y8" s="107"/>
      <c r="Z8" s="107"/>
      <c r="AA8" s="107"/>
      <c r="AB8" s="107"/>
      <c r="AC8" s="6"/>
      <c r="AD8" s="1"/>
      <c r="AE8"/>
      <c r="AF8"/>
      <c r="AG8"/>
      <c r="AH8"/>
    </row>
    <row r="9" spans="1:34" s="105" customFormat="1" ht="15.6" x14ac:dyDescent="0.3">
      <c r="A9" s="166"/>
      <c r="B9" s="183" t="s">
        <v>51</v>
      </c>
      <c r="C9" s="184" t="s">
        <v>4</v>
      </c>
      <c r="D9" s="178"/>
      <c r="E9" s="259">
        <v>100</v>
      </c>
      <c r="F9" s="185"/>
      <c r="G9" s="179"/>
      <c r="H9" s="166"/>
      <c r="I9" s="136"/>
      <c r="J9" s="16"/>
      <c r="K9" s="16"/>
      <c r="L9" s="16"/>
      <c r="M9" s="16"/>
      <c r="N9" s="16"/>
      <c r="O9" s="16"/>
      <c r="P9" s="16"/>
      <c r="Q9" s="9"/>
      <c r="R9" s="16"/>
      <c r="S9" s="3"/>
      <c r="T9" s="107"/>
      <c r="U9" s="107"/>
      <c r="V9" s="107"/>
      <c r="W9" s="107"/>
      <c r="X9" s="107"/>
      <c r="Y9" s="107"/>
      <c r="Z9" s="107"/>
      <c r="AA9" s="107"/>
      <c r="AB9" s="107"/>
      <c r="AC9" s="6"/>
      <c r="AD9" s="1"/>
      <c r="AE9"/>
      <c r="AF9"/>
      <c r="AG9"/>
      <c r="AH9"/>
    </row>
    <row r="10" spans="1:34" s="105" customFormat="1" ht="15.6" x14ac:dyDescent="0.3">
      <c r="A10" s="166"/>
      <c r="B10" s="183" t="s">
        <v>52</v>
      </c>
      <c r="C10" s="184" t="s">
        <v>7</v>
      </c>
      <c r="D10" s="178"/>
      <c r="E10" s="259">
        <v>2</v>
      </c>
      <c r="F10" s="185"/>
      <c r="G10" s="179"/>
      <c r="H10" s="166"/>
      <c r="I10" s="136"/>
      <c r="J10" s="16"/>
      <c r="K10" s="16"/>
      <c r="L10" s="16"/>
      <c r="M10" s="16"/>
      <c r="N10" s="16"/>
      <c r="O10" s="16"/>
      <c r="P10" s="16"/>
      <c r="Q10" s="9"/>
      <c r="R10" s="16"/>
      <c r="S10" s="3"/>
      <c r="T10" s="107"/>
      <c r="U10" s="107"/>
      <c r="V10" s="107"/>
      <c r="W10" s="107"/>
      <c r="X10" s="107"/>
      <c r="Y10" s="107"/>
      <c r="Z10" s="107"/>
      <c r="AA10" s="107"/>
      <c r="AB10" s="107"/>
      <c r="AC10" s="6"/>
      <c r="AD10" s="1"/>
      <c r="AE10"/>
      <c r="AF10"/>
      <c r="AG10"/>
      <c r="AH10"/>
    </row>
    <row r="11" spans="1:34" s="105" customFormat="1" x14ac:dyDescent="0.3">
      <c r="A11" s="166"/>
      <c r="B11" s="186" t="s">
        <v>9</v>
      </c>
      <c r="C11" s="282"/>
      <c r="D11" s="188"/>
      <c r="E11" s="282" t="s">
        <v>2</v>
      </c>
      <c r="F11" s="280" t="s">
        <v>10</v>
      </c>
      <c r="G11" s="190"/>
      <c r="H11" s="166"/>
      <c r="I11" s="136"/>
      <c r="J11" s="16"/>
      <c r="K11" s="16"/>
      <c r="L11" s="16"/>
      <c r="M11" s="16"/>
      <c r="N11" s="16"/>
      <c r="O11" s="16"/>
      <c r="P11" s="16"/>
      <c r="Q11" s="9"/>
      <c r="R11" s="16"/>
      <c r="S11" s="3"/>
      <c r="T11" s="107"/>
      <c r="U11" s="107"/>
      <c r="V11" s="107"/>
      <c r="W11" s="107"/>
      <c r="X11" s="107"/>
      <c r="Y11" s="107"/>
      <c r="Z11" s="107"/>
      <c r="AA11" s="107"/>
      <c r="AB11" s="107"/>
      <c r="AC11" s="6"/>
      <c r="AD11" s="1"/>
      <c r="AE11"/>
      <c r="AF11"/>
      <c r="AG11"/>
      <c r="AH11"/>
    </row>
    <row r="12" spans="1:34" s="105" customFormat="1" ht="15.6" x14ac:dyDescent="0.3">
      <c r="A12" s="166"/>
      <c r="B12" s="183" t="s">
        <v>11</v>
      </c>
      <c r="C12" s="184" t="s">
        <v>7</v>
      </c>
      <c r="D12" s="178"/>
      <c r="E12" s="151">
        <f>E5*2/300+E7</f>
        <v>80.84</v>
      </c>
      <c r="F12" s="185">
        <v>500</v>
      </c>
      <c r="G12" s="179">
        <f>E12*F12</f>
        <v>40420</v>
      </c>
      <c r="H12" s="166"/>
      <c r="I12" s="136"/>
      <c r="J12" s="16"/>
      <c r="K12" s="16"/>
      <c r="L12" s="16"/>
      <c r="M12" s="16"/>
      <c r="N12" s="16"/>
      <c r="O12" s="16"/>
      <c r="P12" s="16"/>
      <c r="Q12" s="9"/>
      <c r="R12" s="16"/>
      <c r="S12" s="3"/>
      <c r="T12" s="107"/>
      <c r="U12" s="107"/>
      <c r="V12" s="107"/>
      <c r="W12" s="107"/>
      <c r="X12" s="107"/>
      <c r="Y12" s="107"/>
      <c r="Z12" s="107"/>
      <c r="AA12" s="107"/>
      <c r="AB12" s="107"/>
      <c r="AC12" s="6"/>
      <c r="AD12" s="1"/>
      <c r="AE12"/>
      <c r="AF12"/>
      <c r="AG12"/>
      <c r="AH12"/>
    </row>
    <row r="13" spans="1:34" s="105" customFormat="1" ht="28.8" x14ac:dyDescent="0.3">
      <c r="A13" s="166"/>
      <c r="B13" s="191" t="s">
        <v>12</v>
      </c>
      <c r="C13" s="184" t="s">
        <v>4</v>
      </c>
      <c r="D13" s="178"/>
      <c r="E13" s="259">
        <v>0</v>
      </c>
      <c r="F13" s="185">
        <v>20</v>
      </c>
      <c r="G13" s="179">
        <f>E13*F13</f>
        <v>0</v>
      </c>
      <c r="H13" s="166"/>
      <c r="I13" s="136"/>
      <c r="J13" s="16"/>
      <c r="K13" s="16"/>
      <c r="L13" s="16"/>
      <c r="M13" s="16"/>
      <c r="N13" s="16"/>
      <c r="O13" s="16"/>
      <c r="P13" s="16"/>
      <c r="Q13" s="9"/>
      <c r="R13" s="16"/>
      <c r="S13" s="3"/>
      <c r="T13" s="107"/>
      <c r="U13" s="107"/>
      <c r="V13" s="107"/>
      <c r="W13" s="107"/>
      <c r="X13" s="107"/>
      <c r="Y13" s="107"/>
      <c r="Z13" s="107"/>
      <c r="AA13" s="107"/>
      <c r="AB13" s="107"/>
      <c r="AC13" s="6"/>
      <c r="AD13" s="1"/>
      <c r="AE13"/>
      <c r="AF13"/>
      <c r="AG13"/>
      <c r="AH13"/>
    </row>
    <row r="14" spans="1:34" s="105" customFormat="1" ht="28.8" x14ac:dyDescent="0.3">
      <c r="A14" s="166"/>
      <c r="B14" s="191" t="s">
        <v>13</v>
      </c>
      <c r="C14" s="184" t="s">
        <v>4</v>
      </c>
      <c r="D14" s="151"/>
      <c r="E14" s="152">
        <f>E9*2</f>
        <v>200</v>
      </c>
      <c r="F14" s="185">
        <v>20</v>
      </c>
      <c r="G14" s="179">
        <f>E14*F14</f>
        <v>4000</v>
      </c>
      <c r="H14" s="166"/>
      <c r="I14" s="136"/>
      <c r="J14" s="16"/>
      <c r="K14" s="16"/>
      <c r="L14" s="16"/>
      <c r="M14" s="16"/>
      <c r="N14" s="16"/>
      <c r="O14" s="16"/>
      <c r="P14" s="16"/>
      <c r="Q14" s="9"/>
      <c r="R14" s="16"/>
      <c r="S14" s="3"/>
      <c r="T14" s="107"/>
      <c r="U14" s="107"/>
      <c r="V14" s="107"/>
      <c r="W14" s="107"/>
      <c r="X14" s="107"/>
      <c r="Y14" s="107"/>
      <c r="Z14" s="107"/>
      <c r="AA14" s="107"/>
      <c r="AB14" s="107"/>
      <c r="AC14" s="6"/>
      <c r="AD14" s="1"/>
      <c r="AE14"/>
      <c r="AF14"/>
      <c r="AG14"/>
      <c r="AH14"/>
    </row>
    <row r="15" spans="1:34" s="105" customFormat="1" ht="15.6" x14ac:dyDescent="0.3">
      <c r="A15" s="166"/>
      <c r="B15" s="191" t="s">
        <v>34</v>
      </c>
      <c r="C15" s="184" t="s">
        <v>35</v>
      </c>
      <c r="D15" s="151"/>
      <c r="E15" s="152">
        <f>((E8+20)*E10)*6</f>
        <v>720</v>
      </c>
      <c r="F15" s="185">
        <v>20</v>
      </c>
      <c r="G15" s="287">
        <f>E15*F15</f>
        <v>14400</v>
      </c>
      <c r="H15" s="166"/>
      <c r="I15" s="136"/>
      <c r="J15" s="16"/>
      <c r="K15" s="16"/>
      <c r="L15" s="16"/>
      <c r="M15" s="16"/>
      <c r="N15" s="16"/>
      <c r="O15" s="16"/>
      <c r="P15" s="16"/>
      <c r="Q15" s="9"/>
      <c r="R15" s="16"/>
      <c r="S15" s="3"/>
      <c r="T15" s="107"/>
      <c r="U15" s="107"/>
      <c r="V15" s="107"/>
      <c r="W15" s="107"/>
      <c r="X15" s="107"/>
      <c r="Y15" s="107"/>
      <c r="Z15" s="107"/>
      <c r="AA15" s="107"/>
      <c r="AB15" s="107"/>
      <c r="AC15" s="6"/>
      <c r="AD15" s="1"/>
      <c r="AE15"/>
      <c r="AF15"/>
      <c r="AG15"/>
      <c r="AH15"/>
    </row>
    <row r="16" spans="1:34" ht="28.8" x14ac:dyDescent="0.3">
      <c r="A16" s="192"/>
      <c r="B16" s="186" t="s">
        <v>14</v>
      </c>
      <c r="C16" s="187" t="s">
        <v>15</v>
      </c>
      <c r="D16" s="193" t="s">
        <v>16</v>
      </c>
      <c r="E16" s="194" t="s">
        <v>2</v>
      </c>
      <c r="F16" s="189" t="s">
        <v>10</v>
      </c>
      <c r="G16" s="190"/>
      <c r="H16" s="195"/>
      <c r="I16" s="393"/>
      <c r="J16" s="393"/>
      <c r="K16" s="393"/>
      <c r="L16" s="393"/>
      <c r="M16" s="393"/>
      <c r="N16" s="393"/>
      <c r="O16" s="393"/>
      <c r="P16" s="393"/>
      <c r="Q16" s="393"/>
      <c r="R16" s="16"/>
      <c r="T16" s="107"/>
      <c r="U16" s="107"/>
      <c r="V16" s="107"/>
      <c r="W16" s="107"/>
      <c r="X16" s="107"/>
      <c r="Y16" s="107"/>
      <c r="Z16" s="107"/>
      <c r="AA16" s="107"/>
      <c r="AB16" s="107"/>
    </row>
    <row r="17" spans="1:34" ht="15.6" x14ac:dyDescent="0.3">
      <c r="A17" s="192"/>
      <c r="B17" s="197" t="s">
        <v>120</v>
      </c>
      <c r="C17" s="152" t="s">
        <v>17</v>
      </c>
      <c r="D17" s="151">
        <v>3</v>
      </c>
      <c r="E17" s="153">
        <f>E9/300+E10+2</f>
        <v>4.3333333333333339</v>
      </c>
      <c r="F17" s="185">
        <v>50</v>
      </c>
      <c r="G17" s="198">
        <f>D17*E17*F17</f>
        <v>650.00000000000011</v>
      </c>
      <c r="H17" s="195"/>
      <c r="I17" s="137"/>
      <c r="J17" s="16"/>
      <c r="K17" s="16"/>
      <c r="L17" s="16"/>
      <c r="M17" s="16"/>
      <c r="N17" s="16"/>
      <c r="O17" s="16"/>
      <c r="P17" s="16"/>
      <c r="Q17" s="9"/>
      <c r="R17" s="16"/>
    </row>
    <row r="18" spans="1:34" x14ac:dyDescent="0.3">
      <c r="A18" s="192"/>
      <c r="B18" s="197" t="s">
        <v>121</v>
      </c>
      <c r="C18" s="152" t="s">
        <v>18</v>
      </c>
      <c r="D18" s="153">
        <v>1.3</v>
      </c>
      <c r="E18" s="261">
        <v>0</v>
      </c>
      <c r="F18" s="185">
        <v>50</v>
      </c>
      <c r="G18" s="198">
        <f>D18*E18*F18</f>
        <v>0</v>
      </c>
      <c r="H18" s="195"/>
      <c r="I18" s="137"/>
      <c r="J18" s="16"/>
      <c r="K18" s="16"/>
      <c r="L18" s="16"/>
      <c r="M18" s="16"/>
      <c r="N18" s="16"/>
      <c r="O18" s="16"/>
      <c r="P18" s="16"/>
      <c r="Q18" s="9"/>
      <c r="R18" s="16"/>
    </row>
    <row r="19" spans="1:34" x14ac:dyDescent="0.3">
      <c r="A19" s="192"/>
      <c r="B19" s="197" t="s">
        <v>122</v>
      </c>
      <c r="C19" s="152" t="s">
        <v>18</v>
      </c>
      <c r="D19" s="153">
        <v>1.3</v>
      </c>
      <c r="E19" s="261">
        <v>0</v>
      </c>
      <c r="F19" s="185">
        <v>50</v>
      </c>
      <c r="G19" s="198">
        <f t="shared" ref="G19:G21" si="0">D19*E19*F19</f>
        <v>0</v>
      </c>
      <c r="H19" s="195"/>
      <c r="I19" s="137"/>
      <c r="J19" s="16"/>
      <c r="K19" s="16"/>
      <c r="L19" s="16"/>
      <c r="M19" s="16"/>
      <c r="N19" s="16"/>
      <c r="O19" s="16"/>
      <c r="P19" s="16"/>
      <c r="Q19" s="9"/>
      <c r="R19" s="16"/>
    </row>
    <row r="20" spans="1:34" ht="28.8" x14ac:dyDescent="0.3">
      <c r="A20" s="192"/>
      <c r="B20" s="197" t="s">
        <v>123</v>
      </c>
      <c r="C20" s="152" t="s">
        <v>19</v>
      </c>
      <c r="D20" s="153">
        <v>7.5</v>
      </c>
      <c r="E20" s="261">
        <v>0</v>
      </c>
      <c r="F20" s="185">
        <v>50</v>
      </c>
      <c r="G20" s="198">
        <f t="shared" si="0"/>
        <v>0</v>
      </c>
      <c r="H20" s="195"/>
      <c r="I20" s="137"/>
      <c r="J20" s="16"/>
      <c r="K20" s="16"/>
      <c r="L20" s="16"/>
      <c r="M20" s="16"/>
      <c r="N20" s="16"/>
      <c r="O20" s="16"/>
      <c r="P20" s="16"/>
      <c r="Q20" s="9"/>
      <c r="R20" s="16"/>
    </row>
    <row r="21" spans="1:34" ht="28.8" x14ac:dyDescent="0.3">
      <c r="A21" s="192"/>
      <c r="B21" s="197" t="s">
        <v>124</v>
      </c>
      <c r="C21" s="152" t="s">
        <v>20</v>
      </c>
      <c r="D21" s="153">
        <v>6.25</v>
      </c>
      <c r="E21" s="153">
        <f>E7</f>
        <v>21</v>
      </c>
      <c r="F21" s="185">
        <v>50</v>
      </c>
      <c r="G21" s="198">
        <f t="shared" si="0"/>
        <v>6562.5</v>
      </c>
      <c r="H21" s="195"/>
      <c r="I21" s="137"/>
      <c r="J21" s="16"/>
      <c r="K21" s="16"/>
      <c r="L21" s="16"/>
      <c r="M21" s="16"/>
      <c r="N21" s="16"/>
      <c r="O21" s="16"/>
      <c r="P21" s="16"/>
      <c r="Q21" s="9"/>
      <c r="R21" s="16"/>
    </row>
    <row r="22" spans="1:34" ht="57.6" x14ac:dyDescent="0.3">
      <c r="A22" s="192"/>
      <c r="B22" s="288" t="s">
        <v>53</v>
      </c>
      <c r="C22" s="187"/>
      <c r="D22" s="193" t="s">
        <v>42</v>
      </c>
      <c r="E22" s="194" t="s">
        <v>2</v>
      </c>
      <c r="F22" s="280" t="s">
        <v>162</v>
      </c>
      <c r="G22" s="190"/>
      <c r="H22" s="195"/>
      <c r="I22" s="393"/>
      <c r="J22" s="393"/>
      <c r="K22" s="393"/>
      <c r="L22" s="393"/>
      <c r="M22" s="393"/>
      <c r="N22" s="393"/>
      <c r="O22" s="393"/>
      <c r="P22" s="393"/>
      <c r="Q22" s="393"/>
      <c r="R22" s="16"/>
    </row>
    <row r="23" spans="1:34" ht="30.75" customHeight="1" x14ac:dyDescent="0.3">
      <c r="A23" s="192"/>
      <c r="B23" s="197" t="s">
        <v>54</v>
      </c>
      <c r="C23" s="152" t="s">
        <v>7</v>
      </c>
      <c r="D23" s="108">
        <v>50</v>
      </c>
      <c r="E23" s="152">
        <f>E9/10+4</f>
        <v>14</v>
      </c>
      <c r="F23" s="254">
        <f t="shared" ref="F23:F31" si="1">D23</f>
        <v>50</v>
      </c>
      <c r="G23" s="198">
        <f t="shared" ref="G23:G28" si="2">E23*F23</f>
        <v>700</v>
      </c>
      <c r="H23" s="195"/>
      <c r="I23" s="16"/>
      <c r="J23" s="16"/>
      <c r="K23" s="16"/>
      <c r="L23" s="16"/>
      <c r="M23" s="16"/>
      <c r="N23" s="16"/>
      <c r="O23" s="16"/>
      <c r="P23" s="16"/>
      <c r="Q23" s="9"/>
      <c r="R23" s="16"/>
    </row>
    <row r="24" spans="1:34" ht="30.75" customHeight="1" x14ac:dyDescent="0.3">
      <c r="A24" s="192"/>
      <c r="B24" s="197" t="s">
        <v>139</v>
      </c>
      <c r="C24" s="152" t="s">
        <v>7</v>
      </c>
      <c r="D24" s="271">
        <v>50</v>
      </c>
      <c r="E24" s="264">
        <v>0</v>
      </c>
      <c r="F24" s="255">
        <f t="shared" si="1"/>
        <v>50</v>
      </c>
      <c r="G24" s="198">
        <f t="shared" si="2"/>
        <v>0</v>
      </c>
      <c r="H24" s="195"/>
      <c r="I24" s="142"/>
      <c r="J24" s="142"/>
      <c r="K24" s="142"/>
      <c r="L24" s="142"/>
      <c r="M24" s="142"/>
      <c r="N24" s="142"/>
      <c r="O24" s="142"/>
      <c r="P24" s="142"/>
      <c r="Q24" s="9"/>
      <c r="R24" s="142"/>
      <c r="T24" s="107"/>
      <c r="U24" s="107"/>
      <c r="V24" s="107"/>
      <c r="W24" s="107"/>
      <c r="X24" s="107"/>
      <c r="Y24" s="107"/>
      <c r="Z24" s="107"/>
      <c r="AA24" s="107"/>
      <c r="AB24" s="107"/>
    </row>
    <row r="25" spans="1:34" ht="28.2" customHeight="1" x14ac:dyDescent="0.3">
      <c r="A25" s="192"/>
      <c r="B25" s="197" t="s">
        <v>55</v>
      </c>
      <c r="C25" s="152" t="s">
        <v>7</v>
      </c>
      <c r="D25" s="289">
        <v>5000</v>
      </c>
      <c r="E25" s="266">
        <v>0</v>
      </c>
      <c r="F25" s="255">
        <f t="shared" si="1"/>
        <v>5000</v>
      </c>
      <c r="G25" s="198">
        <f t="shared" si="2"/>
        <v>0</v>
      </c>
      <c r="H25" s="195"/>
      <c r="I25" s="107"/>
      <c r="J25" s="107"/>
      <c r="K25" s="107"/>
      <c r="L25" s="107"/>
      <c r="M25" s="107"/>
      <c r="N25" s="107"/>
      <c r="O25" s="107"/>
      <c r="P25" s="107"/>
    </row>
    <row r="26" spans="1:34" ht="42.6" customHeight="1" x14ac:dyDescent="0.3">
      <c r="A26" s="192"/>
      <c r="B26" s="197" t="s">
        <v>56</v>
      </c>
      <c r="C26" s="184" t="s">
        <v>129</v>
      </c>
      <c r="D26" s="108">
        <v>20000</v>
      </c>
      <c r="E26" s="266">
        <v>0</v>
      </c>
      <c r="F26" s="255">
        <f t="shared" si="1"/>
        <v>20000</v>
      </c>
      <c r="G26" s="198">
        <f t="shared" si="2"/>
        <v>0</v>
      </c>
      <c r="H26" s="195"/>
      <c r="I26" s="107"/>
      <c r="J26" s="107"/>
      <c r="K26" s="107"/>
      <c r="L26" s="107"/>
      <c r="M26" s="107"/>
      <c r="N26" s="107"/>
      <c r="O26" s="107"/>
      <c r="P26" s="107"/>
    </row>
    <row r="27" spans="1:34" ht="15" customHeight="1" x14ac:dyDescent="0.3">
      <c r="A27" s="192"/>
      <c r="B27" s="197" t="s">
        <v>57</v>
      </c>
      <c r="C27" s="152" t="s">
        <v>7</v>
      </c>
      <c r="D27" s="108">
        <v>7500</v>
      </c>
      <c r="E27" s="266">
        <v>0</v>
      </c>
      <c r="F27" s="255">
        <f t="shared" si="1"/>
        <v>7500</v>
      </c>
      <c r="G27" s="198">
        <f t="shared" si="2"/>
        <v>0</v>
      </c>
      <c r="H27" s="195"/>
      <c r="I27" s="107"/>
      <c r="J27" s="107"/>
      <c r="K27" s="107"/>
      <c r="L27" s="107"/>
      <c r="M27" s="107"/>
      <c r="N27" s="107"/>
      <c r="O27" s="107"/>
      <c r="P27" s="107"/>
    </row>
    <row r="28" spans="1:34" ht="15" customHeight="1" x14ac:dyDescent="0.3">
      <c r="A28" s="192"/>
      <c r="B28" s="197" t="s">
        <v>58</v>
      </c>
      <c r="C28" s="152" t="s">
        <v>7</v>
      </c>
      <c r="D28" s="108">
        <v>10000</v>
      </c>
      <c r="E28" s="264">
        <v>0</v>
      </c>
      <c r="F28" s="255">
        <f t="shared" si="1"/>
        <v>10000</v>
      </c>
      <c r="G28" s="198">
        <f t="shared" si="2"/>
        <v>0</v>
      </c>
      <c r="H28" s="195"/>
      <c r="I28" s="107"/>
      <c r="J28" s="107"/>
      <c r="K28" s="107"/>
      <c r="L28" s="107"/>
      <c r="M28" s="107"/>
      <c r="N28" s="107"/>
      <c r="O28" s="107"/>
      <c r="P28" s="107"/>
    </row>
    <row r="29" spans="1:34" ht="15" customHeight="1" x14ac:dyDescent="0.3">
      <c r="A29" s="192"/>
      <c r="B29" s="197" t="s">
        <v>59</v>
      </c>
      <c r="C29" s="152" t="s">
        <v>7</v>
      </c>
      <c r="D29" s="108">
        <v>50000</v>
      </c>
      <c r="E29" s="260">
        <v>0</v>
      </c>
      <c r="F29" s="255">
        <f t="shared" si="1"/>
        <v>50000</v>
      </c>
      <c r="G29" s="198">
        <f t="shared" ref="G29" si="3">E29*F29</f>
        <v>0</v>
      </c>
      <c r="H29" s="195"/>
      <c r="I29" s="107"/>
      <c r="J29" s="107"/>
      <c r="K29" s="107"/>
      <c r="L29" s="107"/>
      <c r="M29" s="107"/>
      <c r="N29" s="107"/>
      <c r="O29" s="107"/>
      <c r="P29" s="107"/>
    </row>
    <row r="30" spans="1:34" ht="33.6" customHeight="1" x14ac:dyDescent="0.3">
      <c r="A30" s="192"/>
      <c r="B30" s="197" t="s">
        <v>60</v>
      </c>
      <c r="C30" s="184" t="s">
        <v>129</v>
      </c>
      <c r="D30" s="108">
        <v>50000</v>
      </c>
      <c r="E30" s="264">
        <v>0</v>
      </c>
      <c r="F30" s="255">
        <f t="shared" si="1"/>
        <v>50000</v>
      </c>
      <c r="G30" s="198">
        <f>E30*F30</f>
        <v>0</v>
      </c>
      <c r="H30" s="195"/>
      <c r="I30" s="107"/>
      <c r="J30" s="107"/>
      <c r="K30" s="107"/>
      <c r="L30" s="107"/>
      <c r="M30" s="107"/>
      <c r="N30" s="107"/>
      <c r="O30" s="107"/>
      <c r="P30" s="107"/>
    </row>
    <row r="31" spans="1:34" ht="15" customHeight="1" x14ac:dyDescent="0.3">
      <c r="A31" s="192"/>
      <c r="B31" s="197" t="s">
        <v>61</v>
      </c>
      <c r="C31" s="152" t="s">
        <v>7</v>
      </c>
      <c r="D31" s="108">
        <v>7500</v>
      </c>
      <c r="E31" s="260">
        <v>0</v>
      </c>
      <c r="F31" s="255">
        <f t="shared" si="1"/>
        <v>7500</v>
      </c>
      <c r="G31" s="198">
        <f>E31*F31</f>
        <v>0</v>
      </c>
      <c r="H31" s="195"/>
      <c r="I31" s="107"/>
      <c r="J31" s="107"/>
      <c r="K31" s="107"/>
      <c r="L31" s="107"/>
      <c r="M31" s="107"/>
      <c r="N31" s="107"/>
      <c r="O31" s="107"/>
      <c r="P31" s="107"/>
    </row>
    <row r="32" spans="1:34" s="4" customFormat="1" ht="15" customHeight="1" x14ac:dyDescent="0.3">
      <c r="A32" s="192"/>
      <c r="B32" s="201" t="s">
        <v>21</v>
      </c>
      <c r="C32" s="202"/>
      <c r="D32" s="203"/>
      <c r="E32" s="204"/>
      <c r="F32" s="205"/>
      <c r="G32" s="206">
        <f>SUM(G12:G31)</f>
        <v>66732.5</v>
      </c>
      <c r="H32" s="195"/>
      <c r="I32" s="104"/>
      <c r="J32" s="107"/>
      <c r="K32" s="107"/>
      <c r="L32" s="107"/>
      <c r="M32" s="107"/>
      <c r="N32" s="107"/>
      <c r="O32" s="107"/>
      <c r="P32" s="107"/>
      <c r="Q32" s="3"/>
      <c r="R32" s="107"/>
      <c r="S32" s="3"/>
      <c r="T32" s="107"/>
      <c r="U32" s="107"/>
      <c r="V32" s="107"/>
      <c r="W32" s="107"/>
      <c r="X32" s="107"/>
      <c r="Y32" s="107"/>
      <c r="Z32" s="107"/>
      <c r="AA32" s="107"/>
      <c r="AB32" s="107"/>
      <c r="AC32" s="6"/>
      <c r="AD32" s="1"/>
      <c r="AE32"/>
      <c r="AF32"/>
      <c r="AG32"/>
      <c r="AH32"/>
    </row>
    <row r="33" spans="1:34" s="4" customFormat="1" ht="15" customHeight="1" x14ac:dyDescent="0.3">
      <c r="A33" s="192"/>
      <c r="B33" s="207"/>
      <c r="C33" s="208"/>
      <c r="D33" s="209"/>
      <c r="E33" s="210"/>
      <c r="F33" s="211"/>
      <c r="G33" s="212"/>
      <c r="H33" s="195"/>
      <c r="I33" s="104"/>
      <c r="J33" s="107"/>
      <c r="K33" s="107"/>
      <c r="L33" s="107"/>
      <c r="M33" s="107"/>
      <c r="N33" s="107"/>
      <c r="O33" s="107"/>
      <c r="P33" s="107"/>
      <c r="Q33" s="3"/>
      <c r="R33" s="107"/>
      <c r="S33" s="3"/>
      <c r="T33" s="107"/>
      <c r="U33" s="107"/>
      <c r="V33" s="107"/>
      <c r="W33" s="107"/>
      <c r="X33" s="107"/>
      <c r="Y33" s="107"/>
      <c r="Z33" s="107"/>
      <c r="AA33" s="107"/>
      <c r="AB33" s="107"/>
      <c r="AC33" s="6"/>
      <c r="AD33" s="1"/>
      <c r="AE33"/>
      <c r="AF33"/>
      <c r="AG33"/>
      <c r="AH33"/>
    </row>
    <row r="34" spans="1:34" s="4" customFormat="1" ht="15" customHeight="1" x14ac:dyDescent="0.3">
      <c r="A34" s="192"/>
      <c r="B34" s="213" t="s">
        <v>22</v>
      </c>
      <c r="C34" s="390" t="s">
        <v>23</v>
      </c>
      <c r="D34" s="390"/>
      <c r="E34" s="390"/>
      <c r="F34" s="214">
        <v>0.1</v>
      </c>
      <c r="G34" s="215">
        <f>G32*F34</f>
        <v>6673.25</v>
      </c>
      <c r="H34" s="195"/>
      <c r="I34" s="104"/>
      <c r="J34" s="107"/>
      <c r="K34" s="107"/>
      <c r="L34" s="107"/>
      <c r="M34" s="107"/>
      <c r="N34" s="107"/>
      <c r="O34" s="107"/>
      <c r="P34" s="107"/>
      <c r="Q34" s="3"/>
      <c r="R34" s="107"/>
      <c r="S34" s="3"/>
      <c r="T34" s="107"/>
      <c r="U34" s="107"/>
      <c r="V34" s="107"/>
      <c r="W34" s="107"/>
      <c r="X34" s="107"/>
      <c r="Y34" s="107"/>
      <c r="Z34" s="107"/>
      <c r="AA34" s="107"/>
      <c r="AB34" s="107"/>
      <c r="AC34" s="6"/>
      <c r="AD34" s="1"/>
      <c r="AE34"/>
      <c r="AF34"/>
      <c r="AG34"/>
      <c r="AH34"/>
    </row>
    <row r="35" spans="1:34" s="4" customFormat="1" ht="15" customHeight="1" x14ac:dyDescent="0.3">
      <c r="A35" s="192"/>
      <c r="B35" s="207" t="s">
        <v>24</v>
      </c>
      <c r="C35" s="208"/>
      <c r="D35" s="216"/>
      <c r="E35" s="217"/>
      <c r="F35" s="218"/>
      <c r="G35" s="212">
        <f>SUM(G32:G34)</f>
        <v>73405.75</v>
      </c>
      <c r="H35" s="195"/>
      <c r="I35" s="104"/>
      <c r="J35" s="107"/>
      <c r="K35" s="107"/>
      <c r="L35" s="107"/>
      <c r="M35" s="107"/>
      <c r="N35" s="107"/>
      <c r="O35" s="107"/>
      <c r="P35" s="107"/>
      <c r="Q35" s="3"/>
      <c r="R35" s="107"/>
      <c r="S35" s="3"/>
      <c r="T35" s="107"/>
      <c r="U35" s="107"/>
      <c r="V35" s="107"/>
      <c r="W35" s="107"/>
      <c r="X35" s="107"/>
      <c r="Y35" s="107"/>
      <c r="Z35" s="107"/>
      <c r="AA35" s="107"/>
      <c r="AB35" s="107"/>
      <c r="AC35" s="6"/>
      <c r="AD35" s="1"/>
      <c r="AE35"/>
      <c r="AF35"/>
      <c r="AG35"/>
      <c r="AH35"/>
    </row>
    <row r="36" spans="1:34" s="4" customFormat="1" ht="15" customHeight="1" x14ac:dyDescent="0.3">
      <c r="A36" s="192"/>
      <c r="B36" s="219" t="s">
        <v>25</v>
      </c>
      <c r="C36" s="391" t="s">
        <v>23</v>
      </c>
      <c r="D36" s="391"/>
      <c r="E36" s="391"/>
      <c r="F36" s="220">
        <v>0.1</v>
      </c>
      <c r="G36" s="221">
        <f>G35*F36</f>
        <v>7340.5750000000007</v>
      </c>
      <c r="H36" s="195"/>
      <c r="I36" s="104"/>
      <c r="J36" s="107"/>
      <c r="K36" s="107"/>
      <c r="L36" s="107"/>
      <c r="M36" s="107"/>
      <c r="N36" s="107"/>
      <c r="O36" s="107"/>
      <c r="P36" s="107"/>
      <c r="Q36" s="3"/>
      <c r="R36" s="107"/>
      <c r="S36" s="3"/>
      <c r="T36" s="107"/>
      <c r="U36" s="107"/>
      <c r="V36" s="107"/>
      <c r="W36" s="107"/>
      <c r="X36" s="107"/>
      <c r="Y36" s="107"/>
      <c r="Z36" s="107"/>
      <c r="AA36" s="107"/>
      <c r="AB36" s="107"/>
      <c r="AC36" s="6"/>
      <c r="AD36" s="1"/>
      <c r="AE36"/>
      <c r="AF36"/>
      <c r="AG36"/>
      <c r="AH36"/>
    </row>
    <row r="37" spans="1:34" s="105" customFormat="1" ht="15" thickBot="1" x14ac:dyDescent="0.35">
      <c r="A37" s="192"/>
      <c r="B37" s="222" t="s">
        <v>21</v>
      </c>
      <c r="C37" s="223"/>
      <c r="D37" s="224"/>
      <c r="E37" s="225"/>
      <c r="F37" s="226"/>
      <c r="G37" s="227">
        <f>SUM(G35:G36)</f>
        <v>80746.324999999997</v>
      </c>
      <c r="H37" s="195"/>
      <c r="I37" s="104"/>
      <c r="J37" s="107"/>
      <c r="K37" s="107"/>
      <c r="L37" s="107"/>
      <c r="M37" s="107"/>
      <c r="N37" s="107"/>
      <c r="O37" s="107"/>
      <c r="P37" s="107"/>
      <c r="Q37" s="3"/>
      <c r="R37" s="107"/>
      <c r="S37" s="3"/>
      <c r="T37" s="107"/>
      <c r="U37" s="107"/>
      <c r="V37" s="107"/>
      <c r="W37" s="107"/>
      <c r="X37" s="107"/>
      <c r="Y37" s="107"/>
      <c r="Z37" s="107"/>
      <c r="AA37" s="107"/>
      <c r="AB37" s="107"/>
      <c r="AC37" s="6"/>
      <c r="AD37" s="1"/>
      <c r="AE37"/>
      <c r="AF37"/>
      <c r="AG37"/>
      <c r="AH37"/>
    </row>
    <row r="38" spans="1:34" s="105" customFormat="1" ht="15" thickTop="1" x14ac:dyDescent="0.3">
      <c r="A38" s="192"/>
      <c r="B38" s="213" t="s">
        <v>26</v>
      </c>
      <c r="C38" s="392" t="s">
        <v>27</v>
      </c>
      <c r="D38" s="392"/>
      <c r="E38" s="392"/>
      <c r="F38" s="214">
        <v>0.25</v>
      </c>
      <c r="G38" s="228">
        <f>G37*F38</f>
        <v>20186.581249999999</v>
      </c>
      <c r="H38" s="195"/>
      <c r="I38" s="104"/>
      <c r="J38" s="107"/>
      <c r="K38" s="107"/>
      <c r="L38" s="107"/>
      <c r="M38" s="107"/>
      <c r="N38" s="107"/>
      <c r="O38" s="107"/>
      <c r="P38" s="107"/>
      <c r="Q38" s="3"/>
      <c r="R38" s="107"/>
      <c r="S38" s="3"/>
      <c r="T38" s="107"/>
      <c r="U38" s="107"/>
      <c r="V38" s="107"/>
      <c r="W38" s="107"/>
      <c r="X38" s="107"/>
      <c r="Y38" s="107"/>
      <c r="Z38" s="107"/>
      <c r="AA38" s="107"/>
      <c r="AB38" s="107"/>
      <c r="AC38" s="6"/>
      <c r="AD38" s="1"/>
      <c r="AE38"/>
      <c r="AF38"/>
      <c r="AG38"/>
      <c r="AH38"/>
    </row>
    <row r="39" spans="1:34" s="105" customFormat="1" ht="30" customHeight="1" thickBot="1" x14ac:dyDescent="0.35">
      <c r="A39" s="192"/>
      <c r="B39" s="229" t="s">
        <v>28</v>
      </c>
      <c r="C39" s="385" t="s">
        <v>86</v>
      </c>
      <c r="D39" s="385"/>
      <c r="E39" s="385"/>
      <c r="F39" s="230">
        <v>0.1</v>
      </c>
      <c r="G39" s="231">
        <f>G38*F39</f>
        <v>2018.6581249999999</v>
      </c>
      <c r="H39" s="195"/>
      <c r="I39" s="104"/>
      <c r="J39" s="107"/>
      <c r="K39" s="107"/>
      <c r="L39" s="107"/>
      <c r="M39" s="107"/>
      <c r="N39" s="107"/>
      <c r="O39" s="107"/>
      <c r="P39" s="107"/>
      <c r="Q39" s="3"/>
      <c r="R39" s="107"/>
      <c r="S39" s="3"/>
      <c r="T39" s="107"/>
      <c r="U39" s="107"/>
      <c r="V39" s="107"/>
      <c r="W39" s="107"/>
      <c r="X39" s="107"/>
      <c r="Y39" s="107"/>
      <c r="Z39" s="107"/>
      <c r="AA39" s="107"/>
      <c r="AB39" s="107"/>
      <c r="AC39" s="6"/>
      <c r="AD39" s="1"/>
      <c r="AE39"/>
      <c r="AF39"/>
      <c r="AG39"/>
      <c r="AH39"/>
    </row>
    <row r="40" spans="1:34" s="105" customFormat="1" ht="15" thickTop="1" x14ac:dyDescent="0.3">
      <c r="A40" s="192"/>
      <c r="B40" s="232"/>
      <c r="C40" s="233"/>
      <c r="D40" s="234"/>
      <c r="E40" s="235"/>
      <c r="F40" s="182"/>
      <c r="G40" s="236"/>
      <c r="H40" s="195"/>
      <c r="I40" s="104"/>
      <c r="J40" s="107"/>
      <c r="K40" s="107"/>
      <c r="L40" s="107"/>
      <c r="M40" s="107"/>
      <c r="N40" s="107"/>
      <c r="O40" s="107"/>
      <c r="P40" s="107"/>
      <c r="Q40" s="3"/>
      <c r="R40" s="107"/>
      <c r="S40" s="3"/>
      <c r="T40" s="107"/>
      <c r="U40" s="107"/>
      <c r="V40" s="107"/>
      <c r="W40" s="107"/>
      <c r="X40" s="107"/>
      <c r="Y40" s="107"/>
      <c r="Z40" s="107"/>
      <c r="AA40" s="107"/>
      <c r="AB40" s="107"/>
      <c r="AC40" s="6"/>
      <c r="AD40" s="1"/>
      <c r="AE40"/>
      <c r="AF40"/>
      <c r="AG40"/>
      <c r="AH40"/>
    </row>
    <row r="41" spans="1:34" s="105" customFormat="1" ht="15" thickBot="1" x14ac:dyDescent="0.35">
      <c r="A41" s="192"/>
      <c r="B41" s="237" t="s">
        <v>30</v>
      </c>
      <c r="C41" s="238"/>
      <c r="D41" s="239"/>
      <c r="E41" s="240"/>
      <c r="F41" s="241"/>
      <c r="G41" s="242">
        <f>SUM(G37,G38,G39)</f>
        <v>102951.564375</v>
      </c>
      <c r="H41" s="195"/>
      <c r="I41" s="104"/>
      <c r="J41" s="107"/>
      <c r="K41" s="107"/>
      <c r="L41" s="107"/>
      <c r="M41" s="107"/>
      <c r="N41" s="107"/>
      <c r="O41" s="107"/>
      <c r="P41" s="107"/>
      <c r="Q41" s="3"/>
      <c r="R41" s="107"/>
      <c r="S41" s="3"/>
      <c r="T41" s="107"/>
      <c r="U41" s="107"/>
      <c r="V41" s="107"/>
      <c r="W41" s="107"/>
      <c r="X41" s="107"/>
      <c r="Y41" s="107"/>
      <c r="Z41" s="107"/>
      <c r="AA41" s="107"/>
      <c r="AB41" s="107"/>
      <c r="AC41" s="6"/>
      <c r="AD41" s="1"/>
      <c r="AE41"/>
      <c r="AF41"/>
      <c r="AG41"/>
      <c r="AH41"/>
    </row>
    <row r="42" spans="1:34" s="105" customFormat="1" x14ac:dyDescent="0.3">
      <c r="A42" s="192"/>
      <c r="B42" s="170"/>
      <c r="C42" s="195"/>
      <c r="D42" s="195"/>
      <c r="E42" s="168"/>
      <c r="F42" s="168"/>
      <c r="G42" s="168"/>
      <c r="H42" s="195"/>
      <c r="I42" s="104"/>
      <c r="J42" s="107"/>
      <c r="K42" s="107"/>
      <c r="L42" s="107"/>
      <c r="M42" s="107"/>
      <c r="N42" s="107"/>
      <c r="O42" s="107"/>
      <c r="P42" s="107"/>
      <c r="Q42" s="3"/>
      <c r="R42" s="107"/>
      <c r="S42" s="3"/>
      <c r="T42" s="107"/>
      <c r="U42" s="107"/>
      <c r="V42" s="107"/>
      <c r="W42" s="107"/>
      <c r="X42" s="107"/>
      <c r="Y42" s="107"/>
      <c r="Z42" s="107"/>
      <c r="AA42" s="107"/>
      <c r="AB42" s="107"/>
      <c r="AC42" s="6"/>
      <c r="AD42" s="1"/>
      <c r="AE42"/>
      <c r="AF42"/>
      <c r="AG42"/>
      <c r="AH42"/>
    </row>
    <row r="43" spans="1:34" s="105" customFormat="1" x14ac:dyDescent="0.3">
      <c r="A43" s="2"/>
      <c r="B43" s="1"/>
      <c r="C43" s="4"/>
      <c r="D43" s="4"/>
      <c r="E43" s="3"/>
      <c r="F43" s="3"/>
      <c r="G43" s="3"/>
      <c r="H43" s="4"/>
      <c r="I43" s="104"/>
      <c r="J43" s="107"/>
      <c r="K43" s="107"/>
      <c r="L43" s="107"/>
      <c r="M43" s="107"/>
      <c r="N43" s="107"/>
      <c r="O43" s="107"/>
      <c r="P43" s="107"/>
      <c r="Q43" s="3"/>
      <c r="R43" s="107"/>
      <c r="S43" s="3"/>
      <c r="T43" s="107"/>
      <c r="U43" s="107"/>
      <c r="V43" s="107"/>
      <c r="W43" s="107"/>
      <c r="X43" s="107"/>
      <c r="Y43" s="107"/>
      <c r="Z43" s="107"/>
      <c r="AA43" s="107"/>
      <c r="AB43" s="107"/>
      <c r="AC43" s="6"/>
      <c r="AD43" s="1"/>
      <c r="AE43"/>
      <c r="AF43"/>
      <c r="AG43"/>
      <c r="AH43"/>
    </row>
    <row r="44" spans="1:34" s="105" customFormat="1" x14ac:dyDescent="0.3">
      <c r="A44" s="2"/>
      <c r="B44" s="1"/>
      <c r="C44" s="4"/>
      <c r="D44" s="4"/>
      <c r="E44" s="3"/>
      <c r="F44" s="3"/>
      <c r="G44" s="3"/>
      <c r="H44" s="4"/>
      <c r="I44" s="107"/>
      <c r="J44" s="107"/>
      <c r="K44" s="107"/>
      <c r="L44" s="107"/>
      <c r="M44" s="107"/>
      <c r="N44" s="107"/>
      <c r="O44" s="107"/>
      <c r="P44" s="107"/>
      <c r="Q44" s="3"/>
      <c r="R44" s="107"/>
      <c r="S44" s="3"/>
      <c r="T44" s="107"/>
      <c r="U44" s="107"/>
      <c r="V44" s="107"/>
      <c r="W44" s="107"/>
      <c r="X44" s="107"/>
      <c r="Y44" s="107"/>
      <c r="Z44" s="107"/>
      <c r="AA44" s="107"/>
      <c r="AB44" s="107"/>
      <c r="AC44" s="6"/>
      <c r="AD44" s="1"/>
      <c r="AE44"/>
      <c r="AF44"/>
      <c r="AG44"/>
      <c r="AH44"/>
    </row>
  </sheetData>
  <sheetProtection sheet="1" objects="1" scenarios="1"/>
  <mergeCells count="8">
    <mergeCell ref="C39:E39"/>
    <mergeCell ref="I22:Q22"/>
    <mergeCell ref="I16:Q16"/>
    <mergeCell ref="B2:G2"/>
    <mergeCell ref="B3:G3"/>
    <mergeCell ref="C34:E34"/>
    <mergeCell ref="C36:E36"/>
    <mergeCell ref="C38:E38"/>
  </mergeCells>
  <dataValidations count="13">
    <dataValidation allowBlank="1" showInputMessage="1" showErrorMessage="1" promptTitle="Contraflow Bike Lanes" prompt="When contraflow bike lanes are used, enter the number of intersections effected." sqref="E10" xr:uid="{28B24337-8574-476D-8ECE-CFF23429B8CD}"/>
    <dataValidation allowBlank="1" showInputMessage="1" showErrorMessage="1" promptTitle="Contraflow Bike Lanes - Length" prompt="These bike lanes allow bicycle traffic to operate in the opposite direction as motor vehicle traffic on one-way streets. Typically no longer than one block long, these bike lanes can be part of a bike boulevard corridor. When used, enter the length." sqref="E9" xr:uid="{CEFE71CD-57C4-4F3E-9074-38CA763BF155}"/>
    <dataValidation allowBlank="1" showInputMessage="1" showErrorMessage="1" promptTitle="Active Unit Cost" prompt="Select traffic calming features by adding cost to the &quot;Active Unit Cost&quot; field.   The quantity for separation is automatically calculated based on project length, number of intersections and intersection width.  _x000a_" sqref="F23" xr:uid="{D24C87AB-D3A4-4B5D-81BD-1AB6B7ABAE62}"/>
    <dataValidation allowBlank="1" showInputMessage="1" showErrorMessage="1" promptTitle="Passive Unit Cost" prompt="The &quot;Passive Unit Cost&quot; is a locked cell which states the current unit price for each features.  In the &quot;Active Unit Cost&quot; cell, type &quot;=&quot; and select the same &quot;Passive Unit Cost&quot; of the same feature.  The subtotal will automatically update. _x000a_" sqref="D25" xr:uid="{4953EDF4-234D-4816-A61D-6F453A05227F}"/>
    <dataValidation allowBlank="1" showInputMessage="1" showErrorMessage="1" promptTitle="Traffic Calming Features" prompt="Traffic calming features improve bicycling conditions along bicycle boulevards corridor.  A combination of traffic calming features can be used to determine project costs._x000a_" sqref="B22" xr:uid="{C8CFF6FD-6DAC-4ADF-8E22-CE9989C22C27}"/>
    <dataValidation allowBlank="1" showInputMessage="1" showErrorMessage="1" prompt="Bike boulevards, also known as neighborhood greenways, are low-volume, low-speed roadways (typically residential) which provide a lower-traffic-stress experience (LTS 2 or 3).  " sqref="B2:G2" xr:uid="{980494C2-B513-4197-8307-72E81A496778}"/>
    <dataValidation allowBlank="1" showInputMessage="1" showErrorMessage="1" prompt="Daily traffic volume should not exceed 2,500 vehicles and posted speed limit must not exceed 25 mph.  Traffic calming features are added to further improve biking conditions, equalizes speeds between motor and bicycle traffic. _x000a_" sqref="B3:G3" xr:uid="{2C6598EC-C57E-4F1A-9B89-E6AFDE28C168}"/>
    <dataValidation allowBlank="1" showInputMessage="1" showErrorMessage="1" promptTitle="Bike Lane Ahead" prompt="Enter additional quanities for this type of sign, if desired or required." sqref="E18" xr:uid="{19A9A9AD-8107-4D41-B360-DF39E70600AA}"/>
    <dataValidation allowBlank="1" showInputMessage="1" showErrorMessage="1" promptTitle="Bike Lane Ends" prompt="Enter additional quanities for this type of sign, if desired or required." sqref="E19" xr:uid="{A633D693-9C51-45ED-A83A-66B2AF408AA3}"/>
    <dataValidation allowBlank="1" showInputMessage="1" showErrorMessage="1" promptTitle="Right Turn Yield to Bikes" prompt="Enter additional quanities for this type of sign, if desired or required." sqref="E20" xr:uid="{E0A4823F-DD7B-4447-A79A-8055882FA5F8}"/>
    <dataValidation allowBlank="1" showInputMessage="1" showErrorMessage="1" promptTitle="Instructions Cell" prompt="Additional instructions can be found if you hover over green colored cells." sqref="J2" xr:uid="{95468EA4-4DC5-4EE2-9C3E-A4E4C4DB1139}"/>
    <dataValidation allowBlank="1" showInputMessage="1" showErrorMessage="1" promptTitle="Green Pavement Marking" prompt="On bike boulevards, green pavement marking is only calculated for contraflow bike lanes." sqref="B15" xr:uid="{2FF020F7-947B-4406-9A35-6006C650B7FF}"/>
    <dataValidation allowBlank="1" showInputMessage="1" showErrorMessage="1" promptTitle="Passive Unit Cost" prompt="The &quot;Passive Unit Cost&quot; is a locked cell which states the current unit price for each features.  In the &quot;Quantity&quot; cell, enter the quantity of calming features for the project. The subtotal will automatically update. " sqref="D24" xr:uid="{4A61F99E-4E83-4DAB-80B7-824463D6FE0E}"/>
  </dataValidations>
  <pageMargins left="0.25" right="0.25" top="0.75" bottom="0.75" header="0.3" footer="0.3"/>
  <pageSetup paperSize="3" scale="78" fitToHeight="0" orientation="landscape" r:id="rId1"/>
  <ignoredErrors>
    <ignoredError sqref="G37" formula="1"/>
    <ignoredError sqref="F23:F27 F30:F31"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B7822-7A9B-4F38-9368-4C397F370488}">
  <sheetPr>
    <pageSetUpPr fitToPage="1"/>
  </sheetPr>
  <dimension ref="A1:CM46"/>
  <sheetViews>
    <sheetView zoomScaleNormal="100" workbookViewId="0">
      <selection activeCell="G44" sqref="G44"/>
    </sheetView>
  </sheetViews>
  <sheetFormatPr defaultRowHeight="14.4" x14ac:dyDescent="0.3"/>
  <cols>
    <col min="1" max="1" width="8.6640625" style="2" customWidth="1"/>
    <col min="2" max="2" width="23.44140625" style="1" customWidth="1"/>
    <col min="3" max="3" width="23.44140625" style="31" customWidth="1"/>
    <col min="4" max="4" width="13.33203125" style="34" customWidth="1"/>
    <col min="5" max="5" width="8.6640625" style="4" customWidth="1"/>
    <col min="6" max="6" width="13.88671875" style="28" customWidth="1"/>
    <col min="7" max="7" width="15.44140625" style="28" customWidth="1"/>
    <col min="8" max="8" width="12.6640625" style="4" customWidth="1"/>
    <col min="9" max="9" width="12.6640625" style="5" customWidth="1"/>
    <col min="10" max="10" width="14.44140625" style="3" bestFit="1" customWidth="1"/>
    <col min="11" max="11" width="12.6640625" style="5" customWidth="1"/>
    <col min="12" max="12" width="10.5546875" style="3" customWidth="1"/>
    <col min="13" max="16" width="12.6640625" style="5" customWidth="1"/>
    <col min="17" max="17" width="14.33203125" style="5" customWidth="1"/>
    <col min="18" max="19" width="12.6640625" style="5" customWidth="1"/>
    <col min="20" max="20" width="15.33203125" style="5" customWidth="1"/>
    <col min="21" max="21" width="12.6640625" style="5" customWidth="1"/>
    <col min="22" max="22" width="12.6640625" style="6" customWidth="1"/>
    <col min="23" max="23" width="23" style="1" customWidth="1"/>
    <col min="25" max="25" width="9.5546875" bestFit="1" customWidth="1"/>
    <col min="26" max="26" width="11.6640625" bestFit="1" customWidth="1"/>
  </cols>
  <sheetData>
    <row r="1" spans="1:91" ht="15" thickBot="1" x14ac:dyDescent="0.35">
      <c r="A1" s="192"/>
      <c r="B1" s="170"/>
      <c r="C1" s="290"/>
      <c r="D1" s="291"/>
      <c r="E1" s="195"/>
      <c r="F1" s="292"/>
      <c r="G1" s="292"/>
      <c r="H1" s="157"/>
      <c r="I1" s="16"/>
      <c r="J1" s="9"/>
      <c r="K1" s="16"/>
      <c r="L1" s="9"/>
      <c r="M1" s="16"/>
      <c r="N1" s="16"/>
      <c r="O1" s="16"/>
      <c r="P1" s="16"/>
      <c r="Q1" s="16"/>
      <c r="R1" s="16"/>
      <c r="S1" s="16"/>
      <c r="T1" s="16"/>
      <c r="U1" s="16"/>
      <c r="V1" s="84"/>
      <c r="W1" s="7"/>
      <c r="X1" s="23"/>
    </row>
    <row r="2" spans="1:91" ht="32.25" customHeight="1" x14ac:dyDescent="0.3">
      <c r="A2" s="293"/>
      <c r="B2" s="386" t="s">
        <v>62</v>
      </c>
      <c r="C2" s="387"/>
      <c r="D2" s="387"/>
      <c r="E2" s="387"/>
      <c r="F2" s="387"/>
      <c r="G2" s="388"/>
      <c r="H2" s="294"/>
      <c r="I2" s="86"/>
      <c r="J2" s="85"/>
      <c r="K2" s="85"/>
      <c r="L2" s="85"/>
      <c r="M2" s="85"/>
      <c r="N2" s="85"/>
      <c r="O2" s="85"/>
      <c r="P2" s="85"/>
      <c r="Q2" s="85"/>
      <c r="R2" s="85"/>
      <c r="S2" s="85"/>
      <c r="T2" s="85"/>
      <c r="U2" s="85"/>
      <c r="V2" s="85"/>
      <c r="W2" s="85"/>
      <c r="X2" s="23"/>
    </row>
    <row r="3" spans="1:91" ht="37.5" customHeight="1" thickBot="1" x14ac:dyDescent="0.35">
      <c r="A3" s="295"/>
      <c r="B3" s="389" t="s">
        <v>128</v>
      </c>
      <c r="C3" s="389"/>
      <c r="D3" s="389"/>
      <c r="E3" s="389"/>
      <c r="F3" s="389"/>
      <c r="G3" s="389"/>
      <c r="H3" s="296"/>
      <c r="I3" s="30"/>
      <c r="J3" s="30"/>
      <c r="K3" s="30"/>
      <c r="L3" s="30"/>
      <c r="M3" s="30"/>
      <c r="N3" s="30"/>
      <c r="O3" s="30"/>
      <c r="P3" s="30"/>
      <c r="Q3" s="30"/>
      <c r="R3" s="30"/>
      <c r="S3" s="30"/>
      <c r="T3" s="30"/>
      <c r="U3" s="30"/>
      <c r="V3" s="30"/>
      <c r="W3" s="30"/>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row>
    <row r="4" spans="1:91" s="15" customFormat="1" ht="51" customHeight="1" x14ac:dyDescent="0.3">
      <c r="A4" s="297"/>
      <c r="B4" s="171" t="s">
        <v>63</v>
      </c>
      <c r="C4" s="298" t="s">
        <v>64</v>
      </c>
      <c r="D4" s="299" t="s">
        <v>65</v>
      </c>
      <c r="E4" s="174" t="s">
        <v>66</v>
      </c>
      <c r="F4" s="300" t="s">
        <v>67</v>
      </c>
      <c r="G4" s="175" t="s">
        <v>68</v>
      </c>
      <c r="H4" s="177"/>
      <c r="I4" s="106"/>
      <c r="J4" s="25"/>
      <c r="K4" s="25"/>
      <c r="L4" s="25"/>
      <c r="M4" s="25"/>
      <c r="N4" s="25"/>
      <c r="O4" s="25"/>
      <c r="P4" s="25"/>
      <c r="Q4" s="25"/>
      <c r="R4" s="25"/>
      <c r="S4" s="25"/>
      <c r="T4" s="25"/>
      <c r="U4" s="25"/>
      <c r="V4" s="25"/>
      <c r="W4" s="25"/>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row>
    <row r="5" spans="1:91" s="15" customFormat="1" ht="13.5" customHeight="1" x14ac:dyDescent="0.3">
      <c r="A5" s="301"/>
      <c r="B5" s="176" t="s">
        <v>69</v>
      </c>
      <c r="C5" s="302" t="s">
        <v>70</v>
      </c>
      <c r="D5" s="303">
        <f>E5*5280</f>
        <v>0</v>
      </c>
      <c r="E5" s="267">
        <v>0</v>
      </c>
      <c r="F5" s="304">
        <v>1750000</v>
      </c>
      <c r="G5" s="179">
        <f>E5*F5</f>
        <v>0</v>
      </c>
      <c r="H5" s="304"/>
      <c r="I5" s="17"/>
      <c r="J5" s="17"/>
      <c r="K5" s="17"/>
      <c r="L5" s="17"/>
      <c r="M5" s="17"/>
      <c r="N5" s="17"/>
      <c r="O5" s="17"/>
      <c r="P5" s="17"/>
      <c r="Q5" s="17"/>
      <c r="R5" s="17"/>
      <c r="S5" s="17"/>
      <c r="T5" s="17"/>
      <c r="U5" s="17"/>
      <c r="V5" s="17"/>
      <c r="W5" s="17"/>
    </row>
    <row r="6" spans="1:91" ht="15.6" x14ac:dyDescent="0.3">
      <c r="A6" s="305"/>
      <c r="B6" s="180"/>
      <c r="C6" s="233" t="s">
        <v>71</v>
      </c>
      <c r="D6" s="303">
        <f>E6*5280</f>
        <v>0</v>
      </c>
      <c r="E6" s="267">
        <v>0</v>
      </c>
      <c r="F6" s="182">
        <v>2500000</v>
      </c>
      <c r="G6" s="179">
        <f t="shared" ref="G6" si="0">E6*F6</f>
        <v>0</v>
      </c>
      <c r="H6" s="304"/>
      <c r="I6" s="107"/>
      <c r="K6" s="107"/>
      <c r="M6" s="107"/>
      <c r="N6" s="107"/>
      <c r="O6" s="107"/>
      <c r="P6" s="107"/>
      <c r="Q6" s="107"/>
      <c r="R6" s="107"/>
      <c r="S6" s="107"/>
      <c r="T6" s="107"/>
      <c r="U6" s="107"/>
    </row>
    <row r="7" spans="1:91" ht="15.6" x14ac:dyDescent="0.3">
      <c r="A7" s="306"/>
      <c r="B7" s="183"/>
      <c r="C7" s="200" t="s">
        <v>72</v>
      </c>
      <c r="D7" s="303">
        <f>E7*5280</f>
        <v>0</v>
      </c>
      <c r="E7" s="268">
        <v>0</v>
      </c>
      <c r="F7" s="182">
        <v>1250000</v>
      </c>
      <c r="G7" s="179">
        <f>E7*F7</f>
        <v>0</v>
      </c>
      <c r="H7" s="304"/>
      <c r="I7" s="107"/>
      <c r="K7" s="107"/>
      <c r="M7" s="107"/>
      <c r="N7" s="107"/>
      <c r="O7" s="107"/>
      <c r="P7" s="107"/>
      <c r="Q7" s="107"/>
      <c r="R7" s="107"/>
      <c r="S7" s="107"/>
      <c r="T7" s="107"/>
      <c r="U7" s="107"/>
    </row>
    <row r="8" spans="1:91" ht="15.6" x14ac:dyDescent="0.3">
      <c r="A8" s="306"/>
      <c r="B8" s="307"/>
      <c r="C8" s="308" t="s">
        <v>73</v>
      </c>
      <c r="D8" s="337">
        <f>E8*5280</f>
        <v>36432</v>
      </c>
      <c r="E8" s="268">
        <v>6.9</v>
      </c>
      <c r="F8" s="309">
        <v>1100000</v>
      </c>
      <c r="G8" s="310">
        <f>E8*F8</f>
        <v>7590000</v>
      </c>
      <c r="H8" s="304"/>
      <c r="I8" s="26"/>
      <c r="K8" s="107"/>
      <c r="M8" s="107"/>
      <c r="N8" s="107"/>
      <c r="O8" s="107"/>
      <c r="P8" s="107"/>
      <c r="Q8" s="107"/>
      <c r="R8" s="107"/>
      <c r="S8" s="107"/>
      <c r="T8" s="107"/>
      <c r="U8" s="107"/>
    </row>
    <row r="9" spans="1:91" x14ac:dyDescent="0.3">
      <c r="A9" s="306"/>
      <c r="B9" s="311" t="s">
        <v>24</v>
      </c>
      <c r="C9" s="308"/>
      <c r="D9" s="312"/>
      <c r="E9" s="313">
        <f>SUM(E5:E8)</f>
        <v>6.9</v>
      </c>
      <c r="F9" s="309"/>
      <c r="G9" s="314">
        <f>SUM(G5:G8)</f>
        <v>7590000</v>
      </c>
      <c r="H9" s="195"/>
      <c r="I9" s="107"/>
      <c r="K9" s="107"/>
      <c r="M9" s="107"/>
      <c r="N9" s="107"/>
      <c r="O9" s="107"/>
      <c r="P9" s="107"/>
      <c r="Q9" s="107"/>
      <c r="R9" s="107"/>
      <c r="S9" s="107"/>
      <c r="T9" s="107"/>
      <c r="U9" s="107"/>
    </row>
    <row r="10" spans="1:91" x14ac:dyDescent="0.3">
      <c r="A10" s="306"/>
      <c r="B10" s="315"/>
      <c r="C10" s="200"/>
      <c r="D10" s="153"/>
      <c r="E10" s="316"/>
      <c r="F10" s="185"/>
      <c r="G10" s="198"/>
      <c r="H10" s="195"/>
      <c r="I10" s="107"/>
      <c r="K10" s="107"/>
      <c r="M10" s="107"/>
      <c r="N10" s="107"/>
      <c r="O10" s="107"/>
      <c r="P10" s="107"/>
      <c r="Q10" s="107"/>
      <c r="R10" s="107"/>
      <c r="S10" s="107"/>
      <c r="T10" s="107"/>
      <c r="U10" s="107"/>
    </row>
    <row r="11" spans="1:91" x14ac:dyDescent="0.3">
      <c r="A11" s="306"/>
      <c r="B11" s="183" t="s">
        <v>151</v>
      </c>
      <c r="C11" s="200"/>
      <c r="D11" s="261" t="s">
        <v>164</v>
      </c>
      <c r="E11" s="152"/>
      <c r="F11" s="317">
        <v>0.5</v>
      </c>
      <c r="G11" s="198" t="str">
        <f>IF(D11="Yes",G9*F11,"")</f>
        <v/>
      </c>
      <c r="H11" s="195"/>
      <c r="I11" s="107"/>
      <c r="K11" s="107"/>
      <c r="M11" s="107"/>
      <c r="N11" s="107"/>
      <c r="O11" s="107"/>
      <c r="P11" s="107"/>
      <c r="Q11" s="107"/>
      <c r="R11" s="107"/>
      <c r="S11" s="107"/>
      <c r="T11" s="107"/>
      <c r="U11" s="107"/>
    </row>
    <row r="12" spans="1:91" x14ac:dyDescent="0.3">
      <c r="A12" s="306"/>
      <c r="B12" s="311" t="s">
        <v>24</v>
      </c>
      <c r="C12" s="200"/>
      <c r="D12" s="318"/>
      <c r="E12" s="152"/>
      <c r="F12" s="317"/>
      <c r="G12" s="198">
        <f>SUM(G9:G11)</f>
        <v>7590000</v>
      </c>
      <c r="H12" s="195"/>
      <c r="I12" s="107"/>
      <c r="K12" s="107"/>
      <c r="M12" s="107"/>
      <c r="N12" s="107"/>
      <c r="O12" s="107"/>
      <c r="P12" s="107"/>
      <c r="Q12" s="107"/>
      <c r="R12" s="107"/>
      <c r="S12" s="107"/>
      <c r="T12" s="107"/>
      <c r="U12" s="107"/>
    </row>
    <row r="13" spans="1:91" ht="43.2" x14ac:dyDescent="0.3">
      <c r="A13" s="306"/>
      <c r="B13" s="186" t="s">
        <v>74</v>
      </c>
      <c r="C13" s="319"/>
      <c r="D13" s="320" t="s">
        <v>65</v>
      </c>
      <c r="E13" s="194" t="s">
        <v>66</v>
      </c>
      <c r="F13" s="189" t="s">
        <v>75</v>
      </c>
      <c r="G13" s="190"/>
      <c r="H13" s="195"/>
      <c r="I13" s="107"/>
      <c r="K13" s="107"/>
      <c r="M13" s="107"/>
      <c r="N13" s="107"/>
      <c r="O13" s="107"/>
      <c r="P13" s="107"/>
      <c r="Q13" s="107"/>
      <c r="R13" s="107"/>
      <c r="S13" s="107"/>
      <c r="T13" s="107"/>
      <c r="U13" s="107"/>
    </row>
    <row r="14" spans="1:91" s="5" customFormat="1" ht="15.6" x14ac:dyDescent="0.3">
      <c r="A14" s="306"/>
      <c r="B14" s="183"/>
      <c r="C14" s="200" t="s">
        <v>130</v>
      </c>
      <c r="D14" s="259">
        <v>0</v>
      </c>
      <c r="E14" s="152">
        <f>D14/5280</f>
        <v>0</v>
      </c>
      <c r="F14" s="185">
        <v>100</v>
      </c>
      <c r="G14" s="179">
        <f>D14*F14*6</f>
        <v>0</v>
      </c>
      <c r="H14" s="195"/>
      <c r="I14" s="107"/>
      <c r="J14" s="3"/>
      <c r="K14" s="107"/>
      <c r="L14" s="3"/>
      <c r="M14" s="107"/>
      <c r="N14" s="107"/>
      <c r="O14" s="107"/>
      <c r="P14" s="107"/>
      <c r="Q14" s="107"/>
      <c r="R14" s="107"/>
      <c r="S14" s="107"/>
      <c r="T14" s="107"/>
      <c r="U14" s="107"/>
      <c r="V14" s="6"/>
      <c r="W14" s="1"/>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row>
    <row r="15" spans="1:91" s="107" customFormat="1" ht="15.6" x14ac:dyDescent="0.3">
      <c r="A15" s="306"/>
      <c r="B15" s="183"/>
      <c r="C15" s="200" t="s">
        <v>131</v>
      </c>
      <c r="D15" s="259">
        <v>0</v>
      </c>
      <c r="E15" s="152">
        <f>D15/5280</f>
        <v>0</v>
      </c>
      <c r="F15" s="185">
        <v>0</v>
      </c>
      <c r="G15" s="179">
        <f>D15*F15*6</f>
        <v>0</v>
      </c>
      <c r="H15" s="195"/>
      <c r="J15" s="3"/>
      <c r="L15" s="3"/>
      <c r="V15" s="6"/>
      <c r="W15" s="1"/>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row>
    <row r="16" spans="1:91" s="107" customFormat="1" ht="15.6" x14ac:dyDescent="0.3">
      <c r="A16" s="306"/>
      <c r="B16" s="183"/>
      <c r="C16" s="200" t="s">
        <v>132</v>
      </c>
      <c r="D16" s="259">
        <v>0</v>
      </c>
      <c r="E16" s="152">
        <f t="shared" ref="E16" si="1">D16/5280</f>
        <v>0</v>
      </c>
      <c r="F16" s="185">
        <v>0</v>
      </c>
      <c r="G16" s="179">
        <f>D16*F16*6</f>
        <v>0</v>
      </c>
      <c r="H16" s="195"/>
      <c r="J16" s="3"/>
      <c r="L16" s="3"/>
      <c r="V16" s="6"/>
      <c r="W16" s="1"/>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row>
    <row r="17" spans="1:91" s="5" customFormat="1" ht="43.2" x14ac:dyDescent="0.3">
      <c r="A17" s="306"/>
      <c r="B17" s="186" t="s">
        <v>76</v>
      </c>
      <c r="C17" s="319"/>
      <c r="D17" s="320" t="s">
        <v>65</v>
      </c>
      <c r="E17" s="194" t="s">
        <v>66</v>
      </c>
      <c r="F17" s="189" t="s">
        <v>149</v>
      </c>
      <c r="G17" s="190"/>
      <c r="H17" s="195"/>
      <c r="I17" s="107"/>
      <c r="J17" s="3"/>
      <c r="K17" s="107"/>
      <c r="L17" s="3"/>
      <c r="M17" s="107"/>
      <c r="N17" s="107"/>
      <c r="O17" s="107"/>
      <c r="P17" s="107"/>
      <c r="Q17" s="107"/>
      <c r="R17" s="107"/>
      <c r="S17" s="107"/>
      <c r="T17" s="107"/>
      <c r="U17" s="107"/>
      <c r="V17" s="6"/>
      <c r="W17" s="1"/>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row>
    <row r="18" spans="1:91" s="5" customFormat="1" x14ac:dyDescent="0.3">
      <c r="A18" s="306"/>
      <c r="B18" s="321"/>
      <c r="C18" s="200" t="s">
        <v>77</v>
      </c>
      <c r="D18" s="259">
        <v>0</v>
      </c>
      <c r="E18" s="152">
        <f>D18/5280</f>
        <v>0</v>
      </c>
      <c r="F18" s="185">
        <v>400</v>
      </c>
      <c r="G18" s="198">
        <f>(D18*14)*F18</f>
        <v>0</v>
      </c>
      <c r="H18" s="195"/>
      <c r="I18" s="107"/>
      <c r="J18" s="3"/>
      <c r="K18" s="107"/>
      <c r="L18" s="3"/>
      <c r="M18" s="107"/>
      <c r="N18" s="107"/>
      <c r="O18" s="107"/>
      <c r="P18" s="107"/>
      <c r="Q18" s="107"/>
      <c r="R18" s="107"/>
      <c r="S18" s="107"/>
      <c r="T18" s="107"/>
      <c r="U18" s="107"/>
      <c r="V18" s="6"/>
      <c r="W18" s="1"/>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row>
    <row r="19" spans="1:91" s="5" customFormat="1" x14ac:dyDescent="0.3">
      <c r="A19" s="306"/>
      <c r="B19" s="321"/>
      <c r="C19" s="200" t="s">
        <v>78</v>
      </c>
      <c r="D19" s="259">
        <v>0</v>
      </c>
      <c r="E19" s="152">
        <f t="shared" ref="E19:E20" si="2">D19/5280</f>
        <v>0</v>
      </c>
      <c r="F19" s="185">
        <v>400</v>
      </c>
      <c r="G19" s="198">
        <f t="shared" ref="G19:G21" si="3">(D19*14)*F19</f>
        <v>0</v>
      </c>
      <c r="H19" s="195"/>
      <c r="I19" s="107"/>
      <c r="J19" s="3"/>
      <c r="K19" s="107"/>
      <c r="L19" s="3"/>
      <c r="M19" s="107"/>
      <c r="N19" s="107"/>
      <c r="O19" s="107"/>
      <c r="P19" s="107"/>
      <c r="Q19" s="107"/>
      <c r="R19" s="107"/>
      <c r="S19" s="107"/>
      <c r="T19" s="107"/>
      <c r="U19" s="107"/>
      <c r="V19" s="6"/>
      <c r="W19" s="1"/>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row>
    <row r="20" spans="1:91" s="5" customFormat="1" x14ac:dyDescent="0.3">
      <c r="A20" s="306"/>
      <c r="B20" s="321"/>
      <c r="C20" s="200" t="s">
        <v>140</v>
      </c>
      <c r="D20" s="259">
        <v>0</v>
      </c>
      <c r="E20" s="152">
        <f t="shared" si="2"/>
        <v>0</v>
      </c>
      <c r="F20" s="185">
        <v>125</v>
      </c>
      <c r="G20" s="198">
        <f t="shared" si="3"/>
        <v>0</v>
      </c>
      <c r="H20" s="195"/>
      <c r="I20" s="107"/>
      <c r="J20" s="3"/>
      <c r="K20" s="107"/>
      <c r="L20" s="3"/>
      <c r="M20" s="107"/>
      <c r="N20" s="107"/>
      <c r="O20" s="107"/>
      <c r="P20" s="107"/>
      <c r="Q20" s="107"/>
      <c r="R20" s="107"/>
      <c r="S20" s="107"/>
      <c r="T20" s="107"/>
      <c r="U20" s="107"/>
      <c r="V20" s="6"/>
      <c r="W20" s="1"/>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row>
    <row r="21" spans="1:91" s="5" customFormat="1" x14ac:dyDescent="0.3">
      <c r="A21" s="306"/>
      <c r="B21" s="321"/>
      <c r="C21" s="200" t="s">
        <v>141</v>
      </c>
      <c r="D21" s="259">
        <v>0</v>
      </c>
      <c r="E21" s="152">
        <v>0</v>
      </c>
      <c r="F21" s="185">
        <v>125</v>
      </c>
      <c r="G21" s="198">
        <f t="shared" si="3"/>
        <v>0</v>
      </c>
      <c r="H21" s="195"/>
      <c r="I21" s="107"/>
      <c r="J21" s="3"/>
      <c r="K21" s="107"/>
      <c r="L21" s="3"/>
      <c r="M21" s="107"/>
      <c r="N21" s="107"/>
      <c r="O21" s="107"/>
      <c r="P21" s="107"/>
      <c r="Q21" s="107"/>
      <c r="R21" s="107"/>
      <c r="S21" s="107"/>
      <c r="T21" s="107"/>
      <c r="U21" s="107"/>
      <c r="V21" s="6"/>
      <c r="W21" s="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row>
    <row r="22" spans="1:91" s="5" customFormat="1" ht="43.2" x14ac:dyDescent="0.3">
      <c r="A22" s="306"/>
      <c r="B22" s="186" t="s">
        <v>146</v>
      </c>
      <c r="C22" s="319"/>
      <c r="D22" s="320" t="s">
        <v>65</v>
      </c>
      <c r="E22" s="194" t="s">
        <v>66</v>
      </c>
      <c r="F22" s="189" t="s">
        <v>150</v>
      </c>
      <c r="G22" s="190"/>
      <c r="H22" s="195"/>
      <c r="I22" s="107"/>
      <c r="J22" s="3"/>
      <c r="K22" s="107"/>
      <c r="L22" s="3"/>
      <c r="M22" s="107"/>
      <c r="N22" s="107"/>
      <c r="O22" s="107"/>
      <c r="P22" s="107"/>
      <c r="Q22" s="107"/>
      <c r="R22" s="107"/>
      <c r="S22" s="107"/>
      <c r="T22" s="107"/>
      <c r="U22" s="107"/>
      <c r="V22" s="6"/>
      <c r="W22" s="1"/>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5" customFormat="1" x14ac:dyDescent="0.3">
      <c r="A23" s="306"/>
      <c r="B23" s="321"/>
      <c r="C23" s="200" t="s">
        <v>147</v>
      </c>
      <c r="D23" s="259">
        <v>0</v>
      </c>
      <c r="E23" s="152">
        <f>D23/5280</f>
        <v>0</v>
      </c>
      <c r="F23" s="185">
        <v>45</v>
      </c>
      <c r="G23" s="198">
        <f>(D23*14)*F23</f>
        <v>0</v>
      </c>
      <c r="H23" s="195"/>
      <c r="I23" s="107"/>
      <c r="J23" s="3"/>
      <c r="K23" s="107"/>
      <c r="L23" s="3"/>
      <c r="M23" s="107"/>
      <c r="N23" s="107"/>
      <c r="O23" s="107"/>
      <c r="P23" s="107"/>
      <c r="Q23" s="107"/>
      <c r="R23" s="107"/>
      <c r="S23" s="107"/>
      <c r="T23" s="107"/>
      <c r="U23" s="107"/>
      <c r="V23" s="6"/>
      <c r="W23" s="1"/>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5" customFormat="1" x14ac:dyDescent="0.3">
      <c r="A24" s="306"/>
      <c r="B24" s="321"/>
      <c r="C24" s="200" t="s">
        <v>148</v>
      </c>
      <c r="D24" s="259">
        <v>250</v>
      </c>
      <c r="E24" s="152">
        <f t="shared" ref="E24:E25" si="4">D24/5280</f>
        <v>4.7348484848484848E-2</v>
      </c>
      <c r="F24" s="185">
        <v>150</v>
      </c>
      <c r="G24" s="198">
        <f t="shared" ref="G24:G26" si="5">(D24*14)*F24</f>
        <v>525000</v>
      </c>
      <c r="H24" s="195"/>
      <c r="I24" s="107"/>
      <c r="J24" s="3"/>
      <c r="K24" s="107"/>
      <c r="L24" s="3"/>
      <c r="M24" s="107"/>
      <c r="N24" s="107"/>
      <c r="O24" s="107"/>
      <c r="P24" s="107"/>
      <c r="Q24" s="107"/>
      <c r="R24" s="107"/>
      <c r="S24" s="107"/>
      <c r="T24" s="107"/>
      <c r="U24" s="107"/>
      <c r="V24" s="6"/>
      <c r="W24" s="1"/>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25" spans="1:91" s="5" customFormat="1" x14ac:dyDescent="0.3">
      <c r="A25" s="306"/>
      <c r="B25" s="321"/>
      <c r="C25" s="269"/>
      <c r="D25" s="259">
        <v>0</v>
      </c>
      <c r="E25" s="152">
        <f t="shared" si="4"/>
        <v>0</v>
      </c>
      <c r="F25" s="185">
        <v>0</v>
      </c>
      <c r="G25" s="198">
        <f t="shared" si="5"/>
        <v>0</v>
      </c>
      <c r="H25" s="195"/>
      <c r="I25" s="107"/>
      <c r="J25" s="3"/>
      <c r="K25" s="107"/>
      <c r="L25" s="3"/>
      <c r="M25" s="107"/>
      <c r="N25" s="107"/>
      <c r="O25" s="107"/>
      <c r="P25" s="107"/>
      <c r="Q25" s="107"/>
      <c r="R25" s="107"/>
      <c r="S25" s="107"/>
      <c r="T25" s="107"/>
      <c r="U25" s="107"/>
      <c r="V25" s="6"/>
      <c r="W25" s="1"/>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row>
    <row r="26" spans="1:91" x14ac:dyDescent="0.3">
      <c r="A26" s="306"/>
      <c r="B26" s="321"/>
      <c r="C26" s="269"/>
      <c r="D26" s="259">
        <v>0</v>
      </c>
      <c r="E26" s="152">
        <v>0</v>
      </c>
      <c r="F26" s="185">
        <v>0</v>
      </c>
      <c r="G26" s="198">
        <f t="shared" si="5"/>
        <v>0</v>
      </c>
      <c r="H26" s="195"/>
      <c r="I26" s="107"/>
      <c r="K26" s="107"/>
      <c r="M26" s="107"/>
      <c r="N26" s="107"/>
      <c r="O26" s="107"/>
      <c r="P26" s="107"/>
      <c r="Q26" s="107"/>
      <c r="R26" s="107"/>
      <c r="S26" s="107"/>
      <c r="T26" s="107"/>
      <c r="U26" s="107"/>
    </row>
    <row r="27" spans="1:91" ht="43.2" x14ac:dyDescent="0.3">
      <c r="A27" s="306"/>
      <c r="B27" s="186" t="s">
        <v>142</v>
      </c>
      <c r="C27" s="319"/>
      <c r="D27" s="320" t="s">
        <v>65</v>
      </c>
      <c r="E27" s="194" t="s">
        <v>66</v>
      </c>
      <c r="F27" s="189" t="s">
        <v>145</v>
      </c>
      <c r="G27" s="190"/>
      <c r="H27" s="195"/>
      <c r="I27" s="107"/>
      <c r="K27" s="107"/>
      <c r="M27" s="107"/>
      <c r="N27" s="107"/>
      <c r="O27" s="107"/>
      <c r="P27" s="107"/>
      <c r="Q27" s="107"/>
      <c r="R27" s="107"/>
      <c r="S27" s="107"/>
      <c r="T27" s="107"/>
      <c r="U27" s="107"/>
    </row>
    <row r="28" spans="1:91" x14ac:dyDescent="0.3">
      <c r="A28" s="306"/>
      <c r="B28" s="321"/>
      <c r="C28" s="200" t="s">
        <v>143</v>
      </c>
      <c r="D28" s="259">
        <v>0</v>
      </c>
      <c r="E28" s="152">
        <f>D28/5280</f>
        <v>0</v>
      </c>
      <c r="F28" s="185">
        <v>2600</v>
      </c>
      <c r="G28" s="198">
        <f>(D28*16)*F28</f>
        <v>0</v>
      </c>
      <c r="H28" s="195"/>
      <c r="I28" s="107"/>
      <c r="K28" s="107"/>
      <c r="M28" s="107"/>
      <c r="N28" s="107"/>
      <c r="O28" s="107"/>
      <c r="P28" s="107"/>
      <c r="Q28" s="107"/>
      <c r="R28" s="107"/>
      <c r="S28" s="107"/>
      <c r="T28" s="107"/>
      <c r="U28" s="107"/>
    </row>
    <row r="29" spans="1:91" x14ac:dyDescent="0.3">
      <c r="A29" s="306"/>
      <c r="B29" s="321"/>
      <c r="C29" s="200" t="s">
        <v>144</v>
      </c>
      <c r="D29" s="259">
        <v>0</v>
      </c>
      <c r="E29" s="152">
        <f t="shared" ref="E29" si="6">D29/5280</f>
        <v>0</v>
      </c>
      <c r="F29" s="185">
        <v>400</v>
      </c>
      <c r="G29" s="198">
        <f t="shared" ref="G29" si="7">(D29*14)*F29</f>
        <v>0</v>
      </c>
      <c r="H29" s="195"/>
      <c r="I29" s="107"/>
      <c r="K29" s="107"/>
      <c r="M29" s="107"/>
      <c r="N29" s="107"/>
      <c r="O29" s="107"/>
      <c r="P29" s="107"/>
      <c r="Q29" s="107"/>
      <c r="R29" s="107"/>
      <c r="S29" s="107"/>
      <c r="T29" s="107"/>
      <c r="U29" s="107"/>
    </row>
    <row r="30" spans="1:91" ht="43.2" x14ac:dyDescent="0.3">
      <c r="A30" s="306"/>
      <c r="B30" s="186" t="s">
        <v>79</v>
      </c>
      <c r="C30" s="319"/>
      <c r="D30" s="320" t="s">
        <v>65</v>
      </c>
      <c r="E30" s="194" t="s">
        <v>66</v>
      </c>
      <c r="F30" s="189" t="s">
        <v>80</v>
      </c>
      <c r="G30" s="190"/>
      <c r="H30" s="195"/>
      <c r="I30" s="107"/>
      <c r="K30" s="107"/>
      <c r="M30" s="107"/>
      <c r="N30" s="107"/>
      <c r="O30" s="107"/>
      <c r="P30" s="107"/>
      <c r="Q30" s="107"/>
      <c r="R30" s="107"/>
      <c r="S30" s="107"/>
      <c r="T30" s="107"/>
      <c r="U30" s="107"/>
    </row>
    <row r="31" spans="1:91" x14ac:dyDescent="0.3">
      <c r="A31" s="306"/>
      <c r="B31" s="321"/>
      <c r="C31" s="200" t="s">
        <v>81</v>
      </c>
      <c r="D31" s="259">
        <v>500</v>
      </c>
      <c r="E31" s="152">
        <f>D31/5280</f>
        <v>9.4696969696969696E-2</v>
      </c>
      <c r="F31" s="185">
        <v>1000000</v>
      </c>
      <c r="G31" s="198">
        <f>E31*F31</f>
        <v>94696.969696969696</v>
      </c>
      <c r="H31" s="195"/>
      <c r="I31" s="107"/>
      <c r="K31" s="107"/>
      <c r="M31" s="107"/>
      <c r="N31" s="107"/>
      <c r="O31" s="107"/>
      <c r="P31" s="107"/>
      <c r="Q31" s="107"/>
      <c r="R31" s="107"/>
      <c r="S31" s="107"/>
      <c r="T31" s="107"/>
      <c r="U31" s="107"/>
    </row>
    <row r="32" spans="1:91" x14ac:dyDescent="0.3">
      <c r="A32" s="306"/>
      <c r="B32" s="321"/>
      <c r="C32" s="200" t="s">
        <v>82</v>
      </c>
      <c r="D32" s="259">
        <v>0</v>
      </c>
      <c r="E32" s="152">
        <f>D32/5280</f>
        <v>0</v>
      </c>
      <c r="F32" s="185">
        <v>1000000</v>
      </c>
      <c r="G32" s="198">
        <f>E32*F32</f>
        <v>0</v>
      </c>
      <c r="H32" s="195"/>
      <c r="I32" s="107"/>
      <c r="K32" s="107"/>
      <c r="M32" s="107"/>
      <c r="N32" s="107"/>
      <c r="O32" s="107"/>
      <c r="P32" s="107"/>
      <c r="Q32" s="107"/>
      <c r="R32" s="107"/>
      <c r="S32" s="107"/>
      <c r="T32" s="107"/>
      <c r="U32" s="107"/>
    </row>
    <row r="33" spans="1:21" x14ac:dyDescent="0.3">
      <c r="A33" s="306"/>
      <c r="B33" s="322"/>
      <c r="C33" s="269"/>
      <c r="D33" s="261"/>
      <c r="E33" s="323"/>
      <c r="F33" s="309"/>
      <c r="G33" s="314"/>
      <c r="H33" s="195"/>
      <c r="I33" s="107"/>
      <c r="K33" s="107"/>
      <c r="M33" s="107"/>
      <c r="N33" s="107"/>
      <c r="O33" s="107"/>
      <c r="P33" s="107"/>
      <c r="Q33" s="107"/>
      <c r="R33" s="107"/>
      <c r="S33" s="107"/>
      <c r="T33" s="107"/>
      <c r="U33" s="107"/>
    </row>
    <row r="34" spans="1:21" ht="28.8" x14ac:dyDescent="0.3">
      <c r="A34" s="192"/>
      <c r="B34" s="186" t="s">
        <v>83</v>
      </c>
      <c r="C34" s="319"/>
      <c r="D34" s="320" t="s">
        <v>133</v>
      </c>
      <c r="E34" s="194"/>
      <c r="F34" s="189" t="s">
        <v>84</v>
      </c>
      <c r="G34" s="324"/>
      <c r="H34" s="195"/>
      <c r="I34" s="107"/>
      <c r="K34" s="107"/>
      <c r="M34" s="107"/>
      <c r="N34" s="107"/>
      <c r="O34" s="107"/>
      <c r="P34" s="107"/>
      <c r="Q34" s="107"/>
      <c r="R34" s="107"/>
      <c r="S34" s="107"/>
      <c r="T34" s="107"/>
      <c r="U34" s="107"/>
    </row>
    <row r="35" spans="1:21" x14ac:dyDescent="0.3">
      <c r="A35" s="192"/>
      <c r="B35" s="232"/>
      <c r="C35" s="325" t="s">
        <v>134</v>
      </c>
      <c r="D35" s="259">
        <v>0</v>
      </c>
      <c r="E35" s="235"/>
      <c r="F35" s="182">
        <v>750000</v>
      </c>
      <c r="G35" s="236">
        <f>D35*F35</f>
        <v>0</v>
      </c>
      <c r="H35" s="195"/>
      <c r="I35" s="107"/>
      <c r="K35" s="107"/>
      <c r="M35" s="107"/>
      <c r="N35" s="107"/>
      <c r="O35" s="107"/>
      <c r="P35" s="107"/>
      <c r="Q35" s="107"/>
      <c r="R35" s="107"/>
      <c r="S35" s="107"/>
      <c r="T35" s="107"/>
      <c r="U35" s="107"/>
    </row>
    <row r="36" spans="1:21" ht="15" thickBot="1" x14ac:dyDescent="0.35">
      <c r="A36" s="192"/>
      <c r="B36" s="326"/>
      <c r="C36" s="270"/>
      <c r="D36" s="259"/>
      <c r="E36" s="327"/>
      <c r="F36" s="328"/>
      <c r="G36" s="329"/>
      <c r="H36" s="195"/>
      <c r="I36" s="107"/>
      <c r="K36" s="107"/>
      <c r="M36" s="107"/>
      <c r="N36" s="107"/>
      <c r="O36" s="107"/>
      <c r="P36" s="107"/>
      <c r="Q36" s="107"/>
      <c r="R36" s="107"/>
      <c r="S36" s="107"/>
      <c r="T36" s="107"/>
      <c r="U36" s="107"/>
    </row>
    <row r="37" spans="1:21" ht="15" thickTop="1" x14ac:dyDescent="0.3">
      <c r="A37" s="192"/>
      <c r="B37" s="201" t="s">
        <v>21</v>
      </c>
      <c r="C37" s="202"/>
      <c r="D37" s="203"/>
      <c r="E37" s="204"/>
      <c r="F37" s="205"/>
      <c r="G37" s="206">
        <f>SUM(G12:G36)</f>
        <v>8209696.9696969697</v>
      </c>
      <c r="H37" s="195"/>
      <c r="I37" s="107"/>
      <c r="K37" s="107"/>
      <c r="M37" s="107"/>
      <c r="N37" s="107"/>
      <c r="O37" s="107"/>
      <c r="P37" s="107"/>
      <c r="Q37" s="107"/>
      <c r="R37" s="107"/>
      <c r="S37" s="107"/>
      <c r="T37" s="107"/>
      <c r="U37" s="107"/>
    </row>
    <row r="38" spans="1:21" x14ac:dyDescent="0.3">
      <c r="A38" s="192"/>
      <c r="B38" s="207"/>
      <c r="C38" s="208"/>
      <c r="D38" s="209"/>
      <c r="E38" s="210"/>
      <c r="F38" s="211"/>
      <c r="G38" s="212"/>
      <c r="H38" s="195"/>
    </row>
    <row r="39" spans="1:21" x14ac:dyDescent="0.3">
      <c r="A39" s="192"/>
      <c r="B39" s="213" t="s">
        <v>22</v>
      </c>
      <c r="C39" s="330" t="s">
        <v>23</v>
      </c>
      <c r="D39" s="320"/>
      <c r="E39" s="283"/>
      <c r="F39" s="214">
        <v>0.1</v>
      </c>
      <c r="G39" s="215">
        <f>G37*F39</f>
        <v>820969.69696969702</v>
      </c>
      <c r="H39" s="195"/>
    </row>
    <row r="40" spans="1:21" x14ac:dyDescent="0.3">
      <c r="A40" s="192"/>
      <c r="B40" s="207" t="s">
        <v>24</v>
      </c>
      <c r="C40" s="208"/>
      <c r="D40" s="209"/>
      <c r="E40" s="210"/>
      <c r="F40" s="218"/>
      <c r="G40" s="212">
        <f>SUM(G37:G39)</f>
        <v>9030666.666666666</v>
      </c>
      <c r="H40" s="195"/>
    </row>
    <row r="41" spans="1:21" x14ac:dyDescent="0.3">
      <c r="A41" s="192"/>
      <c r="B41" s="219" t="s">
        <v>25</v>
      </c>
      <c r="C41" s="257" t="s">
        <v>85</v>
      </c>
      <c r="D41" s="331"/>
      <c r="E41" s="332"/>
      <c r="F41" s="220">
        <v>0.3</v>
      </c>
      <c r="G41" s="221">
        <f>G40*F41</f>
        <v>2709199.9999999995</v>
      </c>
      <c r="H41" s="195"/>
    </row>
    <row r="42" spans="1:21" ht="15" thickBot="1" x14ac:dyDescent="0.35">
      <c r="A42" s="192"/>
      <c r="B42" s="222" t="s">
        <v>21</v>
      </c>
      <c r="C42" s="223"/>
      <c r="D42" s="333"/>
      <c r="E42" s="334"/>
      <c r="F42" s="226"/>
      <c r="G42" s="227">
        <f>SUM(G40:G41)</f>
        <v>11739866.666666666</v>
      </c>
      <c r="H42" s="195"/>
    </row>
    <row r="43" spans="1:21" ht="15" thickTop="1" x14ac:dyDescent="0.3">
      <c r="A43" s="192"/>
      <c r="B43" s="213" t="s">
        <v>26</v>
      </c>
      <c r="C43" s="330" t="s">
        <v>27</v>
      </c>
      <c r="D43" s="320">
        <v>0.25</v>
      </c>
      <c r="E43" s="283"/>
      <c r="F43" s="214">
        <v>0.25</v>
      </c>
      <c r="G43" s="228">
        <f>G42*F43</f>
        <v>2934966.6666666665</v>
      </c>
      <c r="H43" s="195"/>
    </row>
    <row r="44" spans="1:21" ht="29.4" thickBot="1" x14ac:dyDescent="0.35">
      <c r="A44" s="192"/>
      <c r="B44" s="229" t="s">
        <v>28</v>
      </c>
      <c r="C44" s="256" t="s">
        <v>86</v>
      </c>
      <c r="D44" s="335">
        <v>0.15</v>
      </c>
      <c r="E44" s="336"/>
      <c r="F44" s="230">
        <v>0.1</v>
      </c>
      <c r="G44" s="231">
        <f>G43*F44</f>
        <v>293496.66666666669</v>
      </c>
      <c r="H44" s="195"/>
    </row>
    <row r="45" spans="1:21" ht="15" thickTop="1" x14ac:dyDescent="0.3">
      <c r="A45" s="192"/>
      <c r="B45" s="232"/>
      <c r="C45" s="233"/>
      <c r="D45" s="234"/>
      <c r="E45" s="235"/>
      <c r="F45" s="182"/>
      <c r="G45" s="236"/>
      <c r="H45" s="195"/>
    </row>
    <row r="46" spans="1:21" ht="15" thickBot="1" x14ac:dyDescent="0.35">
      <c r="A46" s="192"/>
      <c r="B46" s="237" t="s">
        <v>30</v>
      </c>
      <c r="C46" s="238"/>
      <c r="D46" s="239"/>
      <c r="E46" s="240"/>
      <c r="F46" s="241"/>
      <c r="G46" s="242">
        <f>SUM(G42,G43,G44)</f>
        <v>14968329.999999998</v>
      </c>
      <c r="H46" s="195"/>
    </row>
  </sheetData>
  <sheetProtection sheet="1" objects="1" scenarios="1"/>
  <mergeCells count="2">
    <mergeCell ref="B2:G2"/>
    <mergeCell ref="B3:G3"/>
  </mergeCells>
  <dataValidations count="10">
    <dataValidation type="list" allowBlank="1" showInputMessage="1" showErrorMessage="1" sqref="D51:D52" xr:uid="{35579A36-789E-4ECA-9DCA-C94423CBD33A}">
      <formula1>"Yes, No"</formula1>
    </dataValidation>
    <dataValidation allowBlank="1" showInputMessage="1" showErrorMessage="1" promptTitle="Project Length" prompt="As no two shared-use paths are alike, a generalized base cost is provided on the context of the path.  Input the project length (feet) for the context of the trail._x000a_" sqref="D5" xr:uid="{209B781B-2289-4408-90AC-B185FE3B33EE}"/>
    <dataValidation type="list" allowBlank="1" showInputMessage="1" showErrorMessage="1" promptTitle="Pervious Pavement" prompt="Select &quot;Yes&quot; from the drop down list if pervious pavement is used to multiply the mileage cost by 1.5." sqref="D11" xr:uid="{E3D675E3-CCF4-4CE7-96D1-72D84FD2C977}">
      <formula1>"Yes, No"</formula1>
    </dataValidation>
    <dataValidation allowBlank="1" showInputMessage="1" showErrorMessage="1" promptTitle="Retaining Wall Length" prompt="Where steep slopes are required, input the approximate the length (feet) for retaining walls.  Retaining wall costs are calculated at $100 per square foot at a 6-foot height._x000a_" sqref="D14" xr:uid="{96DD8893-3EC5-4AAF-899C-5B7BDF5AC05F}"/>
    <dataValidation allowBlank="1" showInputMessage="1" showErrorMessage="1" promptTitle="Bridge Cost" prompt="Bridge costs are calculated at $400 per square foot, based on a 14-foot-wide bridge. Enter the approximate length (feet) of each bridge. " sqref="D18" xr:uid="{5D1CAA49-F103-4AA3-A349-37A6B1C53F11}"/>
    <dataValidation allowBlank="1" showInputMessage="1" showErrorMessage="1" promptTitle="Pre-fabricated Bridge Cost" prompt="Pre-fabricated bridges costs are calculated at $125 per square foot, based on a 14-foot-wide bridge. Enter the approximate length (feet) of each bridge. " sqref="D20" xr:uid="{6C9633D6-80FB-4E65-AF81-22188BC81DDE}"/>
    <dataValidation allowBlank="1" showInputMessage="1" showErrorMessage="1" promptTitle="Wooden Boardwalk Cost" prompt="Wooden boardwalk costs are calculated at $42 per square foot, based on a 14-foot-wide bridge and $150 per square foot, based on a 14-foot-wide boardwalk with railings.  Enter the approximate length (feet) of each boardwalk. " sqref="D23" xr:uid="{73A92A99-0F6C-464F-8F91-62571834B7FF}"/>
    <dataValidation allowBlank="1" showInputMessage="1" showErrorMessage="1" promptTitle="Tunnel Cost" prompt="Tunnel costs are calculated at $2600 per square foot, based on a 16-foot-wide tunnel. Enter the approximate length (feet) of each tunnel.  _x000a_" sqref="D28" xr:uid="{739A9AB1-71A4-4DB5-BC05-6C2E2771F6FD}"/>
    <dataValidation allowBlank="1" showInputMessage="1" showErrorMessage="1" promptTitle="Lighting Costs" prompt="Lighting costs are calculated at $1 million per linear mile of path. Enter the length (feet) for the approximate length of lighting needed. _x000a_" sqref="D31" xr:uid="{8CC3C797-BF56-4AE1-89CB-398E7085F105}"/>
    <dataValidation allowBlank="1" showInputMessage="1" showErrorMessage="1" promptTitle="Railroad Protection Costs" prompt="Where planned paths cross railroad lines, whether at grade or separated, railroad protection services are required.  Each location costs approximately $750,000 for railroad staff to monitor all construction aspects. Enter the number of locations." sqref="D35" xr:uid="{7701BD3C-3F20-444D-ABD2-16AFDE8D4931}"/>
  </dataValidations>
  <pageMargins left="0.25" right="0.25" top="0.75" bottom="0.75" header="0.3" footer="0.3"/>
  <pageSetup paperSize="3" scale="78" fitToHeight="0" orientation="landscape" r:id="rId1"/>
  <ignoredErrors>
    <ignoredError sqref="G4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A88D9-0E33-46B5-BA28-5CE935775254}">
  <sheetPr>
    <tabColor rgb="FF00B050"/>
    <pageSetUpPr fitToPage="1"/>
  </sheetPr>
  <dimension ref="A1:X30"/>
  <sheetViews>
    <sheetView view="pageBreakPreview" zoomScaleNormal="95" zoomScaleSheetLayoutView="100" workbookViewId="0">
      <selection sqref="A1:G1"/>
    </sheetView>
  </sheetViews>
  <sheetFormatPr defaultRowHeight="14.4" x14ac:dyDescent="0.3"/>
  <cols>
    <col min="1" max="1" width="22.5546875" style="2" customWidth="1"/>
    <col min="2" max="2" width="27.109375" style="1" customWidth="1"/>
    <col min="3" max="3" width="23.44140625" style="1" customWidth="1"/>
    <col min="4" max="5" width="8.6640625" style="4" customWidth="1"/>
    <col min="6" max="6" width="13.88671875" style="4" customWidth="1"/>
    <col min="7" max="9" width="12.6640625" style="107" customWidth="1"/>
    <col min="10" max="10" width="14.44140625" style="3" bestFit="1" customWidth="1"/>
    <col min="11" max="11" width="12.6640625" style="107" customWidth="1"/>
    <col min="12" max="12" width="10.5546875" style="3" customWidth="1"/>
    <col min="13" max="16" width="12.6640625" style="107" customWidth="1"/>
    <col min="17" max="17" width="14.33203125" style="107" customWidth="1"/>
    <col min="18" max="19" width="12.6640625" style="107" customWidth="1"/>
    <col min="20" max="20" width="15.33203125" style="107" customWidth="1"/>
    <col min="21" max="21" width="12.6640625" style="107" customWidth="1"/>
    <col min="22" max="22" width="12.6640625" style="6" customWidth="1"/>
    <col min="23" max="23" width="23" style="1" customWidth="1"/>
    <col min="25" max="25" width="9.5546875" bestFit="1" customWidth="1"/>
    <col min="26" max="26" width="11.6640625" bestFit="1" customWidth="1"/>
  </cols>
  <sheetData>
    <row r="1" spans="1:24" ht="32.25" customHeight="1" x14ac:dyDescent="0.3">
      <c r="A1" s="347" t="s">
        <v>109</v>
      </c>
      <c r="B1" s="348"/>
      <c r="C1" s="348"/>
      <c r="D1" s="348"/>
      <c r="E1" s="348"/>
      <c r="F1" s="348"/>
      <c r="G1" s="349"/>
      <c r="H1" s="85"/>
      <c r="I1" s="85"/>
      <c r="J1" s="85"/>
      <c r="K1" s="85"/>
      <c r="L1" s="85"/>
      <c r="M1" s="85"/>
      <c r="N1" s="85"/>
      <c r="O1" s="85"/>
      <c r="P1" s="85"/>
      <c r="Q1" s="85"/>
      <c r="R1" s="85"/>
      <c r="S1" s="85"/>
      <c r="T1" s="85"/>
      <c r="U1" s="85"/>
      <c r="V1" s="85"/>
      <c r="W1" s="85"/>
    </row>
    <row r="2" spans="1:24" ht="51.6" customHeight="1" thickBot="1" x14ac:dyDescent="0.35">
      <c r="A2" s="366" t="s">
        <v>87</v>
      </c>
      <c r="B2" s="366"/>
      <c r="C2" s="366"/>
      <c r="D2" s="366"/>
      <c r="E2" s="366"/>
      <c r="F2" s="366"/>
      <c r="G2" s="366"/>
      <c r="H2" s="85"/>
      <c r="I2" s="85"/>
      <c r="J2" s="85"/>
      <c r="K2" s="85"/>
      <c r="L2" s="85"/>
      <c r="M2" s="85"/>
      <c r="N2" s="85"/>
      <c r="O2" s="85"/>
      <c r="P2" s="85"/>
      <c r="Q2" s="85"/>
      <c r="R2" s="85"/>
      <c r="S2" s="85"/>
      <c r="T2" s="85"/>
      <c r="U2" s="85"/>
      <c r="V2" s="85"/>
      <c r="W2" s="85"/>
    </row>
    <row r="3" spans="1:24" s="111" customFormat="1" ht="15.75" customHeight="1" thickBot="1" x14ac:dyDescent="0.35">
      <c r="A3" s="129" t="s">
        <v>88</v>
      </c>
      <c r="B3" s="130" t="s">
        <v>89</v>
      </c>
      <c r="C3" s="126" t="s">
        <v>90</v>
      </c>
      <c r="D3" s="126"/>
      <c r="E3" s="126"/>
      <c r="F3" s="126"/>
      <c r="G3" s="127"/>
      <c r="H3" s="125"/>
      <c r="I3" s="125"/>
      <c r="J3" s="125"/>
      <c r="K3" s="125"/>
      <c r="L3" s="125"/>
      <c r="M3" s="125"/>
      <c r="N3" s="125"/>
      <c r="O3" s="125"/>
      <c r="P3" s="125"/>
      <c r="Q3" s="125"/>
      <c r="R3" s="125"/>
      <c r="S3" s="125"/>
      <c r="T3" s="125"/>
      <c r="U3" s="125"/>
      <c r="V3" s="125"/>
      <c r="W3" s="125"/>
    </row>
    <row r="4" spans="1:24" ht="60" customHeight="1" x14ac:dyDescent="0.3">
      <c r="A4" s="128" t="s">
        <v>91</v>
      </c>
      <c r="B4" s="114" t="s">
        <v>91</v>
      </c>
      <c r="C4" s="367" t="s">
        <v>92</v>
      </c>
      <c r="D4" s="368"/>
      <c r="E4" s="368"/>
      <c r="F4" s="368"/>
      <c r="G4" s="369"/>
      <c r="H4" s="7"/>
      <c r="I4" s="7"/>
      <c r="J4" s="7"/>
      <c r="K4" s="7"/>
      <c r="L4" s="7"/>
      <c r="M4" s="7"/>
      <c r="N4" s="7"/>
      <c r="O4" s="7"/>
      <c r="P4" s="7"/>
      <c r="Q4" s="7"/>
      <c r="R4" s="7"/>
      <c r="S4" s="7"/>
      <c r="T4" s="7"/>
      <c r="U4" s="7"/>
      <c r="V4" s="7"/>
      <c r="W4" s="7"/>
    </row>
    <row r="5" spans="1:24" ht="60" customHeight="1" x14ac:dyDescent="0.3">
      <c r="A5" s="139" t="s">
        <v>91</v>
      </c>
      <c r="B5" s="115" t="s">
        <v>93</v>
      </c>
      <c r="C5" s="370" t="s">
        <v>94</v>
      </c>
      <c r="D5" s="371"/>
      <c r="E5" s="371"/>
      <c r="F5" s="371"/>
      <c r="G5" s="372"/>
      <c r="H5" s="7"/>
      <c r="I5" s="7"/>
      <c r="J5" s="7"/>
      <c r="K5" s="7"/>
      <c r="L5" s="7"/>
      <c r="M5" s="7"/>
      <c r="N5" s="7"/>
      <c r="O5" s="7"/>
      <c r="P5" s="7"/>
      <c r="Q5" s="7"/>
      <c r="R5" s="7"/>
      <c r="S5" s="7"/>
      <c r="T5" s="7"/>
      <c r="U5" s="7"/>
      <c r="V5" s="7"/>
      <c r="W5" s="7"/>
    </row>
    <row r="6" spans="1:24" ht="60" customHeight="1" x14ac:dyDescent="0.3">
      <c r="A6" s="139" t="s">
        <v>95</v>
      </c>
      <c r="B6" s="115" t="s">
        <v>96</v>
      </c>
      <c r="C6" s="370" t="s">
        <v>102</v>
      </c>
      <c r="D6" s="371"/>
      <c r="E6" s="371"/>
      <c r="F6" s="371"/>
      <c r="G6" s="372"/>
      <c r="H6" s="7"/>
      <c r="I6" s="7"/>
      <c r="J6" s="7"/>
      <c r="K6" s="7"/>
      <c r="L6" s="7"/>
      <c r="M6" s="7"/>
      <c r="N6" s="7"/>
      <c r="O6" s="7"/>
      <c r="P6" s="7"/>
      <c r="Q6" s="7"/>
      <c r="R6" s="7"/>
      <c r="S6" s="7"/>
      <c r="T6" s="7"/>
      <c r="U6" s="7"/>
      <c r="V6" s="7"/>
      <c r="W6" s="7"/>
    </row>
    <row r="7" spans="1:24" ht="60" customHeight="1" x14ac:dyDescent="0.3">
      <c r="A7" s="139" t="s">
        <v>95</v>
      </c>
      <c r="B7" s="115" t="s">
        <v>97</v>
      </c>
      <c r="C7" s="370" t="s">
        <v>103</v>
      </c>
      <c r="D7" s="371"/>
      <c r="E7" s="371"/>
      <c r="F7" s="371"/>
      <c r="G7" s="372"/>
      <c r="H7" s="7"/>
      <c r="I7" s="7"/>
      <c r="J7" s="7"/>
      <c r="K7" s="7"/>
      <c r="L7" s="7"/>
      <c r="M7" s="7"/>
      <c r="N7" s="7"/>
      <c r="O7" s="7"/>
      <c r="P7" s="7"/>
      <c r="Q7" s="7"/>
      <c r="R7" s="7"/>
      <c r="S7" s="7"/>
      <c r="T7" s="7"/>
      <c r="U7" s="7"/>
      <c r="V7" s="7"/>
      <c r="W7" s="7"/>
    </row>
    <row r="8" spans="1:24" ht="60" customHeight="1" x14ac:dyDescent="0.3">
      <c r="A8" s="139" t="s">
        <v>95</v>
      </c>
      <c r="B8" s="115" t="s">
        <v>98</v>
      </c>
      <c r="C8" s="370" t="s">
        <v>100</v>
      </c>
      <c r="D8" s="371"/>
      <c r="E8" s="371"/>
      <c r="F8" s="371"/>
      <c r="G8" s="372"/>
      <c r="H8" s="7"/>
      <c r="I8" s="7"/>
      <c r="J8" s="7"/>
      <c r="K8" s="7"/>
      <c r="L8" s="7"/>
      <c r="M8" s="7"/>
      <c r="N8" s="7"/>
      <c r="O8" s="7"/>
      <c r="P8" s="7"/>
      <c r="Q8" s="7"/>
      <c r="R8" s="7"/>
      <c r="S8" s="7"/>
      <c r="T8" s="7"/>
      <c r="U8" s="7"/>
      <c r="V8" s="7"/>
      <c r="W8" s="7"/>
    </row>
    <row r="9" spans="1:24" ht="60" customHeight="1" x14ac:dyDescent="0.3">
      <c r="A9" s="139" t="s">
        <v>95</v>
      </c>
      <c r="B9" s="115" t="s">
        <v>99</v>
      </c>
      <c r="C9" s="370" t="s">
        <v>101</v>
      </c>
      <c r="D9" s="371"/>
      <c r="E9" s="371"/>
      <c r="F9" s="371"/>
      <c r="G9" s="372"/>
      <c r="H9" s="7"/>
      <c r="I9" s="7"/>
      <c r="J9" s="7"/>
      <c r="K9" s="7"/>
      <c r="L9" s="7"/>
      <c r="M9" s="7"/>
      <c r="N9" s="7"/>
      <c r="O9" s="7"/>
      <c r="P9" s="7"/>
      <c r="Q9" s="7"/>
      <c r="R9" s="7"/>
      <c r="S9" s="7"/>
      <c r="T9" s="7"/>
      <c r="U9" s="7"/>
      <c r="V9" s="7"/>
      <c r="W9" s="7"/>
    </row>
    <row r="10" spans="1:24" ht="165" customHeight="1" x14ac:dyDescent="0.3">
      <c r="A10" s="139" t="s">
        <v>104</v>
      </c>
      <c r="B10" s="115" t="s">
        <v>106</v>
      </c>
      <c r="C10" s="370" t="s">
        <v>105</v>
      </c>
      <c r="D10" s="371"/>
      <c r="E10" s="371"/>
      <c r="F10" s="371"/>
      <c r="G10" s="372"/>
      <c r="H10" s="7"/>
      <c r="I10" s="7"/>
      <c r="J10" s="7"/>
      <c r="K10" s="7"/>
      <c r="L10" s="7"/>
      <c r="M10" s="7"/>
      <c r="N10" s="7"/>
      <c r="O10" s="7"/>
      <c r="P10" s="7"/>
      <c r="Q10" s="7"/>
      <c r="R10" s="7"/>
      <c r="S10" s="7"/>
      <c r="T10" s="7"/>
      <c r="U10" s="7"/>
      <c r="V10" s="7"/>
      <c r="W10" s="7"/>
    </row>
    <row r="11" spans="1:24" ht="159.6" customHeight="1" x14ac:dyDescent="0.3">
      <c r="A11" s="139" t="s">
        <v>104</v>
      </c>
      <c r="B11" s="115" t="s">
        <v>107</v>
      </c>
      <c r="C11" s="370" t="s">
        <v>108</v>
      </c>
      <c r="D11" s="371"/>
      <c r="E11" s="371"/>
      <c r="F11" s="371"/>
      <c r="G11" s="372"/>
      <c r="H11" s="7"/>
      <c r="I11" s="7"/>
      <c r="J11" s="7"/>
      <c r="K11" s="7"/>
      <c r="L11" s="7"/>
      <c r="M11" s="7"/>
      <c r="N11" s="7"/>
      <c r="O11" s="7"/>
      <c r="P11" s="7"/>
      <c r="Q11" s="7"/>
      <c r="R11" s="7"/>
      <c r="S11" s="7"/>
      <c r="T11" s="7"/>
      <c r="U11" s="7"/>
      <c r="V11" s="7"/>
      <c r="W11" s="7"/>
    </row>
    <row r="12" spans="1:24" ht="100.2" customHeight="1" x14ac:dyDescent="0.3">
      <c r="A12" s="139" t="s">
        <v>111</v>
      </c>
      <c r="B12" s="115" t="s">
        <v>110</v>
      </c>
      <c r="C12" s="370" t="s">
        <v>112</v>
      </c>
      <c r="D12" s="371"/>
      <c r="E12" s="371"/>
      <c r="F12" s="371"/>
      <c r="G12" s="372"/>
      <c r="H12" s="7"/>
      <c r="I12" s="7"/>
      <c r="J12" s="7"/>
      <c r="K12" s="7"/>
      <c r="L12" s="7"/>
      <c r="M12" s="7"/>
      <c r="N12" s="7"/>
      <c r="O12" s="7"/>
      <c r="P12" s="7"/>
      <c r="Q12" s="7"/>
      <c r="R12" s="7"/>
      <c r="S12" s="7"/>
      <c r="T12" s="7"/>
      <c r="U12" s="7"/>
      <c r="V12" s="7"/>
      <c r="W12" s="7"/>
    </row>
    <row r="13" spans="1:24" ht="100.2" customHeight="1" x14ac:dyDescent="0.3">
      <c r="A13" s="139" t="s">
        <v>126</v>
      </c>
      <c r="B13" s="115" t="s">
        <v>113</v>
      </c>
      <c r="C13" s="373" t="s">
        <v>114</v>
      </c>
      <c r="D13" s="374"/>
      <c r="E13" s="374"/>
      <c r="F13" s="374"/>
      <c r="G13" s="375"/>
      <c r="H13" s="122"/>
      <c r="I13" s="122"/>
      <c r="J13" s="122"/>
      <c r="K13" s="122"/>
      <c r="L13" s="122"/>
      <c r="M13" s="122"/>
      <c r="N13" s="122"/>
      <c r="O13" s="122"/>
      <c r="P13" s="122"/>
      <c r="Q13" s="122"/>
      <c r="R13" s="122"/>
      <c r="S13" s="122"/>
      <c r="T13" s="122"/>
      <c r="U13" s="122"/>
      <c r="V13" s="122"/>
      <c r="W13" s="122"/>
    </row>
    <row r="14" spans="1:24" ht="100.2" customHeight="1" thickBot="1" x14ac:dyDescent="0.35">
      <c r="A14" s="141" t="s">
        <v>115</v>
      </c>
      <c r="B14" s="116" t="s">
        <v>116</v>
      </c>
      <c r="C14" s="363" t="s">
        <v>127</v>
      </c>
      <c r="D14" s="364"/>
      <c r="E14" s="364"/>
      <c r="F14" s="364"/>
      <c r="G14" s="365"/>
      <c r="H14" s="7"/>
      <c r="I14" s="7"/>
      <c r="J14" s="7"/>
      <c r="K14" s="7"/>
      <c r="L14" s="7"/>
      <c r="M14" s="7"/>
      <c r="N14" s="7"/>
      <c r="O14" s="7"/>
      <c r="P14" s="7"/>
      <c r="Q14" s="7"/>
      <c r="R14" s="7"/>
      <c r="S14" s="7"/>
      <c r="T14" s="7"/>
      <c r="U14" s="7"/>
      <c r="V14" s="7"/>
      <c r="W14" s="7"/>
    </row>
    <row r="15" spans="1:24" ht="44.4" customHeight="1" x14ac:dyDescent="0.3">
      <c r="A15" s="140"/>
      <c r="B15" s="112"/>
      <c r="C15" s="140"/>
      <c r="D15" s="140"/>
      <c r="E15" s="140"/>
      <c r="F15" s="140"/>
      <c r="G15" s="140"/>
      <c r="H15" s="140"/>
      <c r="I15" s="140"/>
      <c r="J15" s="140"/>
      <c r="K15" s="140"/>
      <c r="L15" s="140"/>
      <c r="M15" s="140"/>
      <c r="N15" s="140"/>
      <c r="O15" s="140"/>
      <c r="P15" s="140"/>
      <c r="Q15" s="140"/>
      <c r="R15" s="140"/>
      <c r="S15" s="140"/>
      <c r="T15" s="140"/>
      <c r="U15" s="140"/>
      <c r="V15" s="140"/>
      <c r="W15" s="140"/>
    </row>
    <row r="16" spans="1:24" x14ac:dyDescent="0.3">
      <c r="B16" s="14"/>
      <c r="C16" s="14"/>
      <c r="D16" s="14"/>
      <c r="E16" s="14"/>
      <c r="F16" s="14"/>
      <c r="G16" s="14"/>
      <c r="H16" s="142"/>
      <c r="I16" s="142"/>
      <c r="J16" s="9"/>
      <c r="K16" s="142"/>
      <c r="L16" s="9"/>
      <c r="M16" s="142"/>
      <c r="N16" s="142"/>
      <c r="O16" s="142"/>
      <c r="P16" s="142"/>
      <c r="Q16" s="142"/>
      <c r="R16" s="142"/>
      <c r="S16" s="142"/>
      <c r="T16" s="142"/>
      <c r="U16" s="142"/>
      <c r="V16" s="84"/>
      <c r="W16" s="7"/>
      <c r="X16" s="23"/>
    </row>
    <row r="17" spans="1:24" x14ac:dyDescent="0.3">
      <c r="A17" s="14"/>
      <c r="B17" s="14"/>
      <c r="C17" s="14"/>
      <c r="D17" s="14"/>
      <c r="E17" s="14"/>
      <c r="F17" s="14"/>
      <c r="G17" s="14"/>
      <c r="H17" s="142"/>
      <c r="I17" s="142"/>
      <c r="J17" s="9"/>
      <c r="K17" s="142"/>
      <c r="L17" s="9"/>
      <c r="M17" s="142"/>
      <c r="N17" s="142"/>
      <c r="O17" s="142"/>
      <c r="P17" s="142"/>
      <c r="Q17" s="142"/>
      <c r="R17" s="142"/>
      <c r="S17" s="142"/>
      <c r="T17" s="142"/>
      <c r="U17" s="142"/>
      <c r="V17" s="84"/>
      <c r="W17" s="7"/>
      <c r="X17" s="23"/>
    </row>
    <row r="18" spans="1:24" x14ac:dyDescent="0.3">
      <c r="A18" s="14"/>
      <c r="B18" s="14"/>
      <c r="C18" s="14"/>
      <c r="D18" s="14"/>
      <c r="E18" s="14"/>
      <c r="F18" s="14"/>
      <c r="G18" s="14"/>
      <c r="H18" s="142"/>
      <c r="I18" s="142"/>
      <c r="J18" s="9"/>
      <c r="K18" s="142"/>
      <c r="L18" s="9"/>
      <c r="M18" s="142"/>
      <c r="N18" s="142"/>
      <c r="O18" s="142"/>
      <c r="P18" s="142"/>
      <c r="Q18" s="142"/>
      <c r="R18" s="142"/>
      <c r="S18" s="142"/>
      <c r="T18" s="142"/>
      <c r="U18" s="142"/>
      <c r="V18" s="84"/>
      <c r="W18" s="7"/>
      <c r="X18" s="23"/>
    </row>
    <row r="19" spans="1:24" x14ac:dyDescent="0.3">
      <c r="A19" s="14"/>
      <c r="B19" s="14"/>
      <c r="C19" s="14"/>
      <c r="D19" s="14"/>
      <c r="E19" s="14"/>
      <c r="F19" s="14"/>
      <c r="G19" s="14"/>
    </row>
    <row r="20" spans="1:24" x14ac:dyDescent="0.3">
      <c r="A20" s="14"/>
      <c r="B20" s="14"/>
      <c r="C20" s="14"/>
      <c r="D20" s="14"/>
      <c r="E20" s="14"/>
      <c r="F20" s="14"/>
      <c r="G20" s="14"/>
    </row>
    <row r="21" spans="1:24" x14ac:dyDescent="0.3">
      <c r="A21" s="14"/>
      <c r="B21" s="14"/>
      <c r="C21" s="14"/>
      <c r="D21" s="14"/>
      <c r="E21" s="14"/>
      <c r="F21" s="14"/>
      <c r="G21" s="14"/>
    </row>
    <row r="22" spans="1:24" x14ac:dyDescent="0.3">
      <c r="A22" s="14"/>
      <c r="B22" s="14"/>
      <c r="C22" s="14"/>
      <c r="D22" s="14"/>
      <c r="E22" s="14"/>
      <c r="F22" s="14"/>
      <c r="G22" s="14"/>
    </row>
    <row r="23" spans="1:24" x14ac:dyDescent="0.3">
      <c r="A23" s="14"/>
      <c r="B23" s="14"/>
      <c r="C23" s="14"/>
      <c r="D23" s="14"/>
      <c r="E23" s="14"/>
      <c r="F23" s="14"/>
      <c r="G23" s="14"/>
    </row>
    <row r="24" spans="1:24" s="107" customFormat="1" x14ac:dyDescent="0.3">
      <c r="A24" s="14"/>
      <c r="B24" s="14"/>
      <c r="C24" s="14"/>
      <c r="D24" s="14"/>
      <c r="E24" s="14"/>
      <c r="F24" s="14"/>
      <c r="G24" s="14"/>
      <c r="J24" s="3"/>
      <c r="L24" s="3"/>
      <c r="V24" s="6"/>
      <c r="W24" s="1"/>
    </row>
    <row r="25" spans="1:24" s="107" customFormat="1" x14ac:dyDescent="0.3">
      <c r="A25" s="14"/>
      <c r="B25" s="14"/>
      <c r="C25" s="14"/>
      <c r="D25" s="14"/>
      <c r="E25" s="14"/>
      <c r="F25" s="14"/>
      <c r="G25" s="14"/>
      <c r="J25" s="3"/>
      <c r="L25" s="3"/>
      <c r="V25" s="6"/>
      <c r="W25" s="1"/>
    </row>
    <row r="26" spans="1:24" s="107" customFormat="1" x14ac:dyDescent="0.3">
      <c r="A26" s="14"/>
      <c r="B26" s="14"/>
      <c r="C26" s="14"/>
      <c r="D26" s="14"/>
      <c r="E26" s="14"/>
      <c r="F26" s="14"/>
      <c r="G26" s="14"/>
      <c r="J26" s="3"/>
      <c r="L26" s="3"/>
      <c r="V26" s="6"/>
      <c r="W26" s="1"/>
    </row>
    <row r="27" spans="1:24" s="107" customFormat="1" x14ac:dyDescent="0.3">
      <c r="A27" s="14"/>
      <c r="B27" s="14"/>
      <c r="C27" s="14"/>
      <c r="D27" s="14"/>
      <c r="E27" s="14"/>
      <c r="F27" s="14"/>
      <c r="G27" s="14"/>
      <c r="J27" s="3"/>
      <c r="L27" s="3"/>
      <c r="V27" s="6"/>
      <c r="W27" s="1"/>
    </row>
    <row r="28" spans="1:24" s="107" customFormat="1" x14ac:dyDescent="0.3">
      <c r="A28" s="14"/>
      <c r="B28" s="14"/>
      <c r="C28" s="14"/>
      <c r="D28" s="14"/>
      <c r="E28" s="14"/>
      <c r="F28" s="14"/>
      <c r="G28" s="14"/>
      <c r="J28" s="3"/>
      <c r="L28" s="3"/>
      <c r="V28" s="6"/>
      <c r="W28" s="1"/>
    </row>
    <row r="29" spans="1:24" s="107" customFormat="1" x14ac:dyDescent="0.3">
      <c r="A29" s="14"/>
      <c r="B29" s="14"/>
      <c r="C29" s="14"/>
      <c r="D29" s="14"/>
      <c r="E29" s="14"/>
      <c r="F29" s="14"/>
      <c r="G29" s="14"/>
      <c r="J29" s="3"/>
      <c r="L29" s="3"/>
      <c r="V29" s="6"/>
      <c r="W29" s="1"/>
    </row>
    <row r="30" spans="1:24" x14ac:dyDescent="0.3">
      <c r="A30" s="14"/>
      <c r="B30" s="14"/>
      <c r="C30" s="14"/>
      <c r="D30" s="14"/>
      <c r="E30" s="14"/>
      <c r="F30" s="14"/>
      <c r="G30" s="14"/>
    </row>
  </sheetData>
  <sheetProtection sheet="1" objects="1" scenarios="1"/>
  <mergeCells count="13">
    <mergeCell ref="A1:G1"/>
    <mergeCell ref="C14:G14"/>
    <mergeCell ref="A2:G2"/>
    <mergeCell ref="C4:G4"/>
    <mergeCell ref="C5:G5"/>
    <mergeCell ref="C6:G6"/>
    <mergeCell ref="C7:G7"/>
    <mergeCell ref="C8:G8"/>
    <mergeCell ref="C9:G9"/>
    <mergeCell ref="C10:G10"/>
    <mergeCell ref="C11:G11"/>
    <mergeCell ref="C12:G12"/>
    <mergeCell ref="C13:G13"/>
  </mergeCells>
  <pageMargins left="0.25" right="0.25" top="0.75" bottom="0.75" header="0.3" footer="0.3"/>
  <pageSetup scale="87" fitToHeight="0" orientation="portrait" r:id="rId1"/>
  <headerFooter>
    <oddHeader>&amp;A</oddHeader>
    <oddFooter>Page &amp;P of &amp;N</oddFooter>
  </headerFooter>
  <rowBreaks count="1" manualBreakCount="1">
    <brk id="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168D0-D3A8-4D07-A059-03D64C3347AC}">
  <sheetPr>
    <tabColor rgb="FF00B050"/>
    <pageSetUpPr fitToPage="1"/>
  </sheetPr>
  <dimension ref="A1:AH39"/>
  <sheetViews>
    <sheetView view="pageBreakPreview" zoomScaleNormal="95" zoomScaleSheetLayoutView="100" workbookViewId="0">
      <selection activeCell="B19" sqref="B19:B23"/>
    </sheetView>
  </sheetViews>
  <sheetFormatPr defaultRowHeight="14.4" x14ac:dyDescent="0.3"/>
  <cols>
    <col min="1" max="1" width="5.33203125" style="2" customWidth="1"/>
    <col min="2" max="2" width="28.109375" style="1" customWidth="1"/>
    <col min="3" max="3" width="13.5546875" style="4" customWidth="1"/>
    <col min="4" max="4" width="8.6640625" style="4" customWidth="1"/>
    <col min="5" max="5" width="12.33203125" style="3" customWidth="1"/>
    <col min="6" max="6" width="12" style="3" customWidth="1"/>
    <col min="7" max="7" width="14" style="3" customWidth="1"/>
    <col min="8" max="8" width="5.33203125" style="4" customWidth="1"/>
    <col min="9" max="10" width="12.6640625" style="107" customWidth="1"/>
    <col min="11" max="11" width="14" style="107" customWidth="1"/>
    <col min="12" max="16" width="12.6640625" style="107" customWidth="1"/>
    <col min="17" max="17" width="14.44140625" style="3" bestFit="1" customWidth="1"/>
    <col min="18" max="18" width="12.6640625" style="107" customWidth="1"/>
    <col min="19" max="19" width="10.5546875" style="3" customWidth="1"/>
    <col min="20" max="23" width="12.6640625" style="107" customWidth="1"/>
    <col min="24" max="24" width="14.33203125" style="107" customWidth="1"/>
    <col min="25" max="26" width="12.6640625" style="107" customWidth="1"/>
    <col min="27" max="27" width="15.33203125" style="107" customWidth="1"/>
    <col min="28" max="28" width="12.6640625" style="107" customWidth="1"/>
    <col min="29" max="29" width="12.6640625" style="6" customWidth="1"/>
    <col min="30" max="30" width="23" style="1" customWidth="1"/>
    <col min="32" max="32" width="9.5546875" bestFit="1" customWidth="1"/>
    <col min="33" max="33" width="11.6640625" bestFit="1" customWidth="1"/>
  </cols>
  <sheetData>
    <row r="1" spans="1:34" ht="32.25" customHeight="1" x14ac:dyDescent="0.3">
      <c r="A1" s="347" t="s">
        <v>117</v>
      </c>
      <c r="B1" s="348"/>
      <c r="C1" s="348"/>
      <c r="D1" s="348"/>
      <c r="E1" s="348"/>
      <c r="F1" s="348"/>
      <c r="G1" s="348"/>
      <c r="H1" s="348"/>
      <c r="I1"/>
      <c r="J1"/>
      <c r="K1"/>
      <c r="L1"/>
      <c r="M1"/>
      <c r="N1"/>
      <c r="O1"/>
      <c r="P1"/>
      <c r="Q1"/>
      <c r="R1"/>
      <c r="S1"/>
      <c r="T1"/>
      <c r="U1"/>
      <c r="V1"/>
      <c r="W1"/>
      <c r="X1"/>
      <c r="Y1"/>
      <c r="Z1"/>
      <c r="AA1"/>
      <c r="AB1"/>
      <c r="AC1"/>
      <c r="AD1"/>
    </row>
    <row r="2" spans="1:34" ht="79.5" customHeight="1" x14ac:dyDescent="0.3">
      <c r="A2" s="376" t="s">
        <v>152</v>
      </c>
      <c r="B2" s="376"/>
      <c r="C2" s="376"/>
      <c r="D2" s="376"/>
      <c r="E2" s="376"/>
      <c r="F2" s="376"/>
      <c r="G2" s="376"/>
      <c r="H2" s="376"/>
      <c r="I2" s="125"/>
      <c r="J2" s="125"/>
      <c r="K2" s="125"/>
      <c r="L2" s="125"/>
      <c r="M2" s="125"/>
      <c r="N2" s="22"/>
      <c r="O2" s="11"/>
      <c r="P2" s="11"/>
      <c r="Q2" s="9"/>
      <c r="R2" s="11"/>
      <c r="S2" s="9"/>
      <c r="T2" s="11"/>
      <c r="U2" s="11"/>
      <c r="V2" s="11"/>
      <c r="W2" s="11"/>
      <c r="X2" s="11"/>
      <c r="Y2" s="11"/>
      <c r="Z2" s="11"/>
      <c r="AA2" s="11"/>
      <c r="AB2" s="11"/>
      <c r="AC2" s="21"/>
      <c r="AD2" s="7"/>
      <c r="AF2" s="13"/>
      <c r="AG2" s="12"/>
    </row>
    <row r="3" spans="1:34" ht="15" thickBot="1" x14ac:dyDescent="0.35">
      <c r="A3" s="40"/>
      <c r="B3" s="7"/>
      <c r="C3" s="10"/>
      <c r="D3" s="8"/>
      <c r="E3" s="9"/>
      <c r="F3" s="9"/>
      <c r="G3" s="9"/>
      <c r="H3" s="10"/>
      <c r="I3" s="11"/>
      <c r="J3" s="22"/>
      <c r="K3" s="22"/>
      <c r="L3" s="11"/>
      <c r="M3" s="11"/>
      <c r="N3" s="22"/>
      <c r="O3" s="11"/>
      <c r="P3" s="11"/>
      <c r="Q3" s="9"/>
      <c r="R3" s="11"/>
      <c r="S3" s="9"/>
      <c r="T3" s="11"/>
      <c r="U3" s="11"/>
      <c r="V3" s="11"/>
      <c r="W3" s="11"/>
      <c r="X3" s="11"/>
      <c r="Y3" s="11"/>
      <c r="Z3" s="11"/>
      <c r="AA3" s="11"/>
      <c r="AB3" s="11"/>
      <c r="AC3" s="21"/>
      <c r="AD3" s="7"/>
      <c r="AF3" s="13"/>
      <c r="AG3" s="12"/>
    </row>
    <row r="4" spans="1:34" ht="37.5" customHeight="1" x14ac:dyDescent="0.3">
      <c r="A4" s="14"/>
      <c r="B4" s="379" t="s">
        <v>118</v>
      </c>
      <c r="C4" s="380"/>
      <c r="D4" s="380"/>
      <c r="E4" s="380"/>
      <c r="F4" s="380"/>
      <c r="G4" s="381"/>
      <c r="H4" s="14"/>
    </row>
    <row r="5" spans="1:34" s="107" customFormat="1" ht="15.75" customHeight="1" thickBot="1" x14ac:dyDescent="0.35">
      <c r="A5" s="14"/>
      <c r="B5" s="382" t="s">
        <v>119</v>
      </c>
      <c r="C5" s="382"/>
      <c r="D5" s="382"/>
      <c r="E5" s="382"/>
      <c r="F5" s="382"/>
      <c r="G5" s="382"/>
      <c r="H5" s="14"/>
      <c r="I5" s="14"/>
      <c r="J5" s="16"/>
      <c r="Q5" s="3"/>
      <c r="S5" s="3"/>
      <c r="AC5" s="6"/>
      <c r="AD5" s="1"/>
      <c r="AE5"/>
      <c r="AF5"/>
      <c r="AG5"/>
      <c r="AH5"/>
    </row>
    <row r="6" spans="1:34" s="107" customFormat="1" x14ac:dyDescent="0.3">
      <c r="A6" s="14"/>
      <c r="B6" s="45" t="s">
        <v>1</v>
      </c>
      <c r="C6" s="87"/>
      <c r="D6" s="87"/>
      <c r="E6" s="243" t="s">
        <v>2</v>
      </c>
      <c r="F6" s="46"/>
      <c r="G6" s="47"/>
      <c r="H6" s="14"/>
      <c r="I6" s="134"/>
      <c r="J6" s="16"/>
      <c r="Q6" s="3"/>
      <c r="S6" s="3"/>
      <c r="AC6" s="6"/>
      <c r="AD6" s="1"/>
      <c r="AE6"/>
      <c r="AF6"/>
      <c r="AG6"/>
      <c r="AH6"/>
    </row>
    <row r="7" spans="1:34" s="107" customFormat="1" ht="15.6" x14ac:dyDescent="0.3">
      <c r="A7" s="14"/>
      <c r="B7" s="48" t="s">
        <v>3</v>
      </c>
      <c r="C7" s="29" t="s">
        <v>4</v>
      </c>
      <c r="D7" s="16"/>
      <c r="E7" s="251">
        <f>E8*5280</f>
        <v>7920</v>
      </c>
      <c r="F7" s="29"/>
      <c r="G7" s="49"/>
      <c r="H7" s="14"/>
      <c r="I7" s="118"/>
      <c r="J7" s="113"/>
      <c r="K7" s="29"/>
      <c r="L7" s="16"/>
      <c r="M7" s="91"/>
      <c r="Q7" s="3"/>
      <c r="S7" s="3"/>
      <c r="AC7" s="6"/>
      <c r="AD7" s="1"/>
      <c r="AE7"/>
      <c r="AF7"/>
      <c r="AG7"/>
      <c r="AH7"/>
    </row>
    <row r="8" spans="1:34" s="107" customFormat="1" ht="15" customHeight="1" x14ac:dyDescent="0.3">
      <c r="A8" s="14"/>
      <c r="B8" s="48" t="s">
        <v>3</v>
      </c>
      <c r="C8" s="29" t="s">
        <v>5</v>
      </c>
      <c r="D8" s="16"/>
      <c r="E8" s="252">
        <v>1.5</v>
      </c>
      <c r="F8" s="29"/>
      <c r="G8" s="49"/>
      <c r="H8" s="14"/>
      <c r="I8" s="119"/>
      <c r="J8" s="113"/>
      <c r="K8" s="29"/>
      <c r="L8" s="16"/>
      <c r="M8" s="91"/>
      <c r="Q8" s="3"/>
      <c r="S8" s="3"/>
      <c r="AC8" s="6"/>
      <c r="AD8" s="1"/>
      <c r="AE8"/>
      <c r="AF8"/>
      <c r="AG8"/>
      <c r="AH8"/>
    </row>
    <row r="9" spans="1:34" s="107" customFormat="1" ht="15.6" x14ac:dyDescent="0.3">
      <c r="A9" s="14"/>
      <c r="B9" s="50" t="s">
        <v>6</v>
      </c>
      <c r="C9" s="88" t="s">
        <v>7</v>
      </c>
      <c r="D9" s="16"/>
      <c r="E9" s="253">
        <v>35</v>
      </c>
      <c r="F9" s="44"/>
      <c r="G9" s="49"/>
      <c r="H9" s="14"/>
      <c r="I9" s="118"/>
      <c r="J9" s="16"/>
      <c r="Q9" s="3"/>
      <c r="S9" s="3"/>
      <c r="AC9" s="6"/>
      <c r="AD9" s="1"/>
      <c r="AE9"/>
      <c r="AF9"/>
      <c r="AG9"/>
      <c r="AH9"/>
    </row>
    <row r="10" spans="1:34" s="107" customFormat="1" ht="15.6" x14ac:dyDescent="0.3">
      <c r="A10" s="14"/>
      <c r="B10" s="51" t="s">
        <v>8</v>
      </c>
      <c r="C10" s="92" t="s">
        <v>4</v>
      </c>
      <c r="D10" s="16"/>
      <c r="E10" s="253">
        <v>40</v>
      </c>
      <c r="F10" s="44"/>
      <c r="G10" s="49"/>
      <c r="H10" s="14"/>
      <c r="I10" s="14"/>
      <c r="Q10" s="3"/>
      <c r="S10" s="3"/>
      <c r="AC10" s="6"/>
      <c r="AD10" s="1"/>
      <c r="AE10"/>
      <c r="AF10"/>
      <c r="AG10"/>
      <c r="AH10"/>
    </row>
    <row r="11" spans="1:34" s="107" customFormat="1" ht="15.6" x14ac:dyDescent="0.3">
      <c r="A11" s="14"/>
      <c r="B11" s="51"/>
      <c r="C11" s="92"/>
      <c r="D11" s="16"/>
      <c r="E11" s="33"/>
      <c r="F11" s="54"/>
      <c r="G11" s="49"/>
      <c r="H11" s="14"/>
      <c r="I11" s="14"/>
      <c r="Q11" s="3"/>
      <c r="S11" s="3"/>
      <c r="AC11" s="6"/>
      <c r="AD11" s="1"/>
      <c r="AE11"/>
      <c r="AF11"/>
      <c r="AG11"/>
      <c r="AH11"/>
    </row>
    <row r="12" spans="1:34" s="107" customFormat="1" x14ac:dyDescent="0.3">
      <c r="A12" s="14"/>
      <c r="B12" s="55" t="s">
        <v>9</v>
      </c>
      <c r="C12" s="103"/>
      <c r="D12" s="98"/>
      <c r="E12" s="103" t="s">
        <v>2</v>
      </c>
      <c r="F12" s="27" t="s">
        <v>10</v>
      </c>
      <c r="G12" s="65"/>
      <c r="H12" s="14"/>
      <c r="I12" s="118"/>
      <c r="Q12" s="3"/>
      <c r="S12" s="3"/>
      <c r="AC12" s="6"/>
      <c r="AD12" s="1"/>
      <c r="AE12"/>
      <c r="AF12"/>
      <c r="AG12"/>
      <c r="AH12"/>
    </row>
    <row r="13" spans="1:34" s="107" customFormat="1" ht="15.6" x14ac:dyDescent="0.3">
      <c r="A13" s="14"/>
      <c r="B13" s="51" t="s">
        <v>33</v>
      </c>
      <c r="C13" s="92" t="s">
        <v>7</v>
      </c>
      <c r="D13" s="16"/>
      <c r="E13" s="244">
        <f>E7*2/300+(E9*2)</f>
        <v>122.8</v>
      </c>
      <c r="F13" s="54">
        <v>500</v>
      </c>
      <c r="G13" s="150">
        <f>E13*F13</f>
        <v>61400</v>
      </c>
      <c r="H13" s="14"/>
      <c r="I13" s="120"/>
      <c r="Q13" s="3"/>
      <c r="S13" s="3"/>
      <c r="AC13" s="6"/>
      <c r="AD13" s="1"/>
      <c r="AE13"/>
      <c r="AF13"/>
      <c r="AG13"/>
      <c r="AH13"/>
    </row>
    <row r="14" spans="1:34" s="107" customFormat="1" ht="28.8" x14ac:dyDescent="0.3">
      <c r="A14" s="14"/>
      <c r="B14" s="89" t="s">
        <v>12</v>
      </c>
      <c r="C14" s="92" t="s">
        <v>4</v>
      </c>
      <c r="D14" s="16"/>
      <c r="E14" s="244">
        <f>E7-(E9*E10)</f>
        <v>6520</v>
      </c>
      <c r="F14" s="54">
        <v>20</v>
      </c>
      <c r="G14" s="49">
        <f>E14*F14</f>
        <v>130400</v>
      </c>
      <c r="H14" s="14"/>
      <c r="I14" s="14"/>
      <c r="Q14" s="3"/>
      <c r="S14" s="3"/>
      <c r="AC14" s="6"/>
      <c r="AD14" s="1"/>
      <c r="AE14"/>
      <c r="AF14"/>
      <c r="AG14"/>
      <c r="AH14"/>
    </row>
    <row r="15" spans="1:34" s="107" customFormat="1" ht="43.2" x14ac:dyDescent="0.3">
      <c r="A15" s="14"/>
      <c r="B15" s="89" t="s">
        <v>40</v>
      </c>
      <c r="C15" s="92" t="s">
        <v>4</v>
      </c>
      <c r="D15" s="16"/>
      <c r="E15" s="33">
        <f>(E7-(E9*E10))/10*4.25</f>
        <v>2771</v>
      </c>
      <c r="F15" s="54">
        <v>20</v>
      </c>
      <c r="G15" s="49">
        <f>E15*F15</f>
        <v>55420</v>
      </c>
      <c r="H15" s="14"/>
      <c r="I15" s="117"/>
      <c r="Q15" s="3"/>
      <c r="S15" s="3"/>
      <c r="AC15" s="6"/>
      <c r="AD15" s="1"/>
      <c r="AE15"/>
      <c r="AF15"/>
      <c r="AG15"/>
      <c r="AH15"/>
    </row>
    <row r="16" spans="1:34" s="107" customFormat="1" ht="28.8" x14ac:dyDescent="0.3">
      <c r="A16" s="14"/>
      <c r="B16" s="89" t="s">
        <v>13</v>
      </c>
      <c r="C16" s="92" t="s">
        <v>4</v>
      </c>
      <c r="D16" s="33"/>
      <c r="E16" s="245">
        <v>0</v>
      </c>
      <c r="F16" s="54">
        <v>20</v>
      </c>
      <c r="G16" s="49">
        <f>E16*F16</f>
        <v>0</v>
      </c>
      <c r="H16" s="14"/>
      <c r="I16" s="14"/>
      <c r="Q16" s="3"/>
      <c r="S16" s="3"/>
      <c r="AC16" s="6"/>
      <c r="AD16" s="1"/>
      <c r="AE16"/>
      <c r="AF16"/>
      <c r="AG16"/>
      <c r="AH16"/>
    </row>
    <row r="17" spans="1:34" s="107" customFormat="1" ht="15.6" x14ac:dyDescent="0.3">
      <c r="A17" s="14"/>
      <c r="B17" s="89" t="s">
        <v>34</v>
      </c>
      <c r="C17" s="92" t="s">
        <v>35</v>
      </c>
      <c r="D17" s="33"/>
      <c r="E17" s="53">
        <f>((E10+20)*E9)*6</f>
        <v>12600</v>
      </c>
      <c r="F17" s="54">
        <v>20</v>
      </c>
      <c r="G17" s="49">
        <f>E17*F17</f>
        <v>252000</v>
      </c>
      <c r="H17" s="14"/>
      <c r="I17" s="14"/>
      <c r="Q17" s="3"/>
      <c r="S17" s="3"/>
      <c r="AC17" s="6"/>
      <c r="AD17" s="1"/>
      <c r="AE17"/>
      <c r="AF17"/>
      <c r="AG17"/>
      <c r="AH17"/>
    </row>
    <row r="18" spans="1:34" ht="28.8" x14ac:dyDescent="0.3">
      <c r="B18" s="55" t="s">
        <v>14</v>
      </c>
      <c r="C18" s="93" t="s">
        <v>15</v>
      </c>
      <c r="D18" s="32" t="s">
        <v>16</v>
      </c>
      <c r="E18" s="20" t="s">
        <v>2</v>
      </c>
      <c r="F18" s="27" t="s">
        <v>10</v>
      </c>
      <c r="G18" s="65"/>
      <c r="I18" s="121"/>
    </row>
    <row r="19" spans="1:34" ht="15.6" x14ac:dyDescent="0.3">
      <c r="B19" s="99" t="s">
        <v>120</v>
      </c>
      <c r="C19" s="53" t="s">
        <v>17</v>
      </c>
      <c r="D19" s="33">
        <v>3</v>
      </c>
      <c r="E19" s="101">
        <f>(E7/2)+(E9*2)</f>
        <v>4030</v>
      </c>
      <c r="F19" s="54">
        <v>50</v>
      </c>
      <c r="G19" s="149">
        <f>D19*E19*F19</f>
        <v>604500</v>
      </c>
      <c r="I19" s="104"/>
    </row>
    <row r="20" spans="1:34" s="4" customFormat="1" x14ac:dyDescent="0.3">
      <c r="A20" s="2"/>
      <c r="B20" s="99" t="s">
        <v>121</v>
      </c>
      <c r="C20" s="53" t="s">
        <v>18</v>
      </c>
      <c r="D20" s="90">
        <v>1.3</v>
      </c>
      <c r="E20" s="101">
        <v>2</v>
      </c>
      <c r="F20" s="54">
        <v>50</v>
      </c>
      <c r="G20" s="56">
        <f>D20*E20*F20</f>
        <v>130</v>
      </c>
      <c r="I20" s="104"/>
      <c r="J20" s="107"/>
      <c r="K20" s="107"/>
      <c r="L20" s="107"/>
      <c r="M20" s="107"/>
      <c r="N20" s="107"/>
      <c r="O20" s="107"/>
      <c r="P20" s="107"/>
      <c r="Q20" s="3"/>
      <c r="R20" s="107"/>
      <c r="S20" s="3"/>
      <c r="T20" s="107"/>
      <c r="U20" s="107"/>
      <c r="V20" s="107"/>
      <c r="W20" s="107"/>
      <c r="X20" s="107"/>
      <c r="Y20" s="107"/>
      <c r="Z20" s="107"/>
      <c r="AA20" s="107"/>
      <c r="AB20" s="107"/>
      <c r="AC20" s="6"/>
      <c r="AD20" s="1"/>
      <c r="AE20"/>
      <c r="AF20"/>
      <c r="AG20"/>
      <c r="AH20"/>
    </row>
    <row r="21" spans="1:34" s="4" customFormat="1" x14ac:dyDescent="0.3">
      <c r="A21" s="2"/>
      <c r="B21" s="99" t="s">
        <v>122</v>
      </c>
      <c r="C21" s="53" t="s">
        <v>18</v>
      </c>
      <c r="D21" s="90">
        <v>1.3</v>
      </c>
      <c r="E21" s="101">
        <v>2</v>
      </c>
      <c r="F21" s="54">
        <v>50</v>
      </c>
      <c r="G21" s="56">
        <f t="shared" ref="G21:G23" si="0">D21*E21*F21</f>
        <v>130</v>
      </c>
      <c r="I21" s="104"/>
      <c r="J21" s="107"/>
      <c r="K21" s="107"/>
      <c r="L21" s="107"/>
      <c r="M21" s="107"/>
      <c r="N21" s="107"/>
      <c r="O21" s="107"/>
      <c r="P21" s="107"/>
      <c r="Q21" s="3"/>
      <c r="R21" s="107"/>
      <c r="S21" s="3"/>
      <c r="T21" s="107"/>
      <c r="U21" s="107"/>
      <c r="V21" s="107"/>
      <c r="W21" s="107"/>
      <c r="X21" s="107"/>
      <c r="Y21" s="107"/>
      <c r="Z21" s="107"/>
      <c r="AA21" s="107"/>
      <c r="AB21" s="107"/>
      <c r="AC21" s="6"/>
      <c r="AD21" s="1"/>
      <c r="AE21"/>
      <c r="AF21"/>
      <c r="AG21"/>
      <c r="AH21"/>
    </row>
    <row r="22" spans="1:34" s="4" customFormat="1" x14ac:dyDescent="0.3">
      <c r="A22" s="2"/>
      <c r="B22" s="99" t="s">
        <v>123</v>
      </c>
      <c r="C22" s="53" t="s">
        <v>19</v>
      </c>
      <c r="D22" s="90">
        <v>7.5</v>
      </c>
      <c r="E22" s="101">
        <f>E9</f>
        <v>35</v>
      </c>
      <c r="F22" s="54">
        <v>50</v>
      </c>
      <c r="G22" s="56">
        <f t="shared" si="0"/>
        <v>13125</v>
      </c>
      <c r="I22" s="104"/>
      <c r="J22" s="107"/>
      <c r="K22" s="107"/>
      <c r="L22" s="107"/>
      <c r="M22" s="107"/>
      <c r="N22" s="107"/>
      <c r="O22" s="107"/>
      <c r="P22" s="107"/>
      <c r="Q22" s="3"/>
      <c r="R22" s="107"/>
      <c r="S22" s="3"/>
      <c r="T22" s="107"/>
      <c r="U22" s="107"/>
      <c r="V22" s="107"/>
      <c r="W22" s="107"/>
      <c r="X22" s="107"/>
      <c r="Y22" s="107"/>
      <c r="Z22" s="107"/>
      <c r="AA22" s="107"/>
      <c r="AB22" s="107"/>
      <c r="AC22" s="6"/>
      <c r="AD22" s="1"/>
      <c r="AE22"/>
      <c r="AF22"/>
      <c r="AG22"/>
      <c r="AH22"/>
    </row>
    <row r="23" spans="1:34" s="4" customFormat="1" x14ac:dyDescent="0.3">
      <c r="A23" s="2"/>
      <c r="B23" s="99" t="s">
        <v>124</v>
      </c>
      <c r="C23" s="53" t="s">
        <v>20</v>
      </c>
      <c r="D23" s="90">
        <v>6.25</v>
      </c>
      <c r="E23" s="101">
        <v>0</v>
      </c>
      <c r="F23" s="54">
        <v>50</v>
      </c>
      <c r="G23" s="56">
        <f t="shared" si="0"/>
        <v>0</v>
      </c>
      <c r="I23" s="104"/>
      <c r="J23" s="107"/>
      <c r="K23" s="107"/>
      <c r="L23" s="107"/>
      <c r="M23" s="107"/>
      <c r="N23" s="107"/>
      <c r="O23" s="107"/>
      <c r="P23" s="107"/>
      <c r="Q23" s="3"/>
      <c r="R23" s="107"/>
      <c r="S23" s="3"/>
      <c r="T23" s="107"/>
      <c r="U23" s="107"/>
      <c r="V23" s="107"/>
      <c r="W23" s="107"/>
      <c r="X23" s="107"/>
      <c r="Y23" s="107"/>
      <c r="Z23" s="107"/>
      <c r="AA23" s="107"/>
      <c r="AB23" s="107"/>
      <c r="AC23" s="6"/>
      <c r="AD23" s="1"/>
      <c r="AE23"/>
      <c r="AF23"/>
      <c r="AG23"/>
      <c r="AH23"/>
    </row>
    <row r="24" spans="1:34" s="4" customFormat="1" x14ac:dyDescent="0.3">
      <c r="A24" s="2"/>
      <c r="B24" s="100"/>
      <c r="C24" s="52"/>
      <c r="D24" s="90"/>
      <c r="E24" s="53"/>
      <c r="F24" s="54"/>
      <c r="G24" s="56"/>
      <c r="I24" s="104"/>
      <c r="J24" s="107"/>
      <c r="K24" s="107"/>
      <c r="L24" s="107"/>
      <c r="M24" s="107"/>
      <c r="N24" s="107"/>
      <c r="O24" s="107"/>
      <c r="P24" s="107"/>
      <c r="Q24" s="3"/>
      <c r="R24" s="107"/>
      <c r="S24" s="3"/>
      <c r="T24" s="107"/>
      <c r="U24" s="107"/>
      <c r="V24" s="107"/>
      <c r="W24" s="107"/>
      <c r="X24" s="107"/>
      <c r="Y24" s="107"/>
      <c r="Z24" s="107"/>
      <c r="AA24" s="107"/>
      <c r="AB24" s="107"/>
      <c r="AC24" s="6"/>
      <c r="AD24" s="1"/>
      <c r="AE24"/>
      <c r="AF24"/>
      <c r="AG24"/>
      <c r="AH24"/>
    </row>
    <row r="25" spans="1:34" s="4" customFormat="1" ht="28.8" x14ac:dyDescent="0.3">
      <c r="A25" s="2"/>
      <c r="B25" s="55" t="s">
        <v>41</v>
      </c>
      <c r="C25" s="93"/>
      <c r="D25" s="32" t="s">
        <v>42</v>
      </c>
      <c r="E25" s="20" t="s">
        <v>2</v>
      </c>
      <c r="F25" s="27" t="s">
        <v>43</v>
      </c>
      <c r="G25" s="65"/>
      <c r="I25" s="104"/>
      <c r="J25" s="107"/>
      <c r="K25" s="107"/>
      <c r="L25" s="107"/>
      <c r="M25" s="107"/>
      <c r="N25" s="107"/>
      <c r="O25" s="107"/>
      <c r="P25" s="107"/>
      <c r="Q25" s="3"/>
      <c r="R25" s="107"/>
      <c r="S25" s="3"/>
      <c r="T25" s="107"/>
      <c r="U25" s="107"/>
      <c r="V25" s="107"/>
      <c r="W25" s="107"/>
      <c r="X25" s="107"/>
      <c r="Y25" s="107"/>
      <c r="Z25" s="107"/>
      <c r="AA25" s="107"/>
      <c r="AB25" s="107"/>
      <c r="AC25" s="6"/>
      <c r="AD25" s="1"/>
      <c r="AE25"/>
      <c r="AF25"/>
      <c r="AG25"/>
      <c r="AH25"/>
    </row>
    <row r="26" spans="1:34" s="4" customFormat="1" x14ac:dyDescent="0.3">
      <c r="A26" s="2"/>
      <c r="B26" s="99" t="s">
        <v>44</v>
      </c>
      <c r="C26" s="53" t="s">
        <v>7</v>
      </c>
      <c r="D26" s="148">
        <v>50</v>
      </c>
      <c r="E26" s="53">
        <f>E14/10+E9*2</f>
        <v>722</v>
      </c>
      <c r="F26" s="249">
        <f>D26</f>
        <v>50</v>
      </c>
      <c r="G26" s="56">
        <f>E26*F26</f>
        <v>36100</v>
      </c>
      <c r="I26" s="104"/>
      <c r="J26" s="107"/>
      <c r="K26" s="107"/>
      <c r="L26" s="107"/>
      <c r="M26" s="107"/>
      <c r="N26" s="107"/>
      <c r="O26" s="107"/>
      <c r="P26" s="107"/>
      <c r="Q26" s="3"/>
      <c r="R26" s="107"/>
      <c r="S26" s="3"/>
      <c r="T26" s="107"/>
      <c r="U26" s="107"/>
      <c r="V26" s="107"/>
      <c r="W26" s="107"/>
      <c r="X26" s="107"/>
      <c r="Y26" s="107"/>
      <c r="Z26" s="107"/>
      <c r="AA26" s="107"/>
      <c r="AB26" s="107"/>
      <c r="AC26" s="6"/>
      <c r="AD26" s="1"/>
      <c r="AE26"/>
      <c r="AF26"/>
      <c r="AG26"/>
      <c r="AH26"/>
    </row>
    <row r="27" spans="1:34" s="4" customFormat="1" ht="28.8" x14ac:dyDescent="0.3">
      <c r="A27" s="2"/>
      <c r="B27" s="99" t="s">
        <v>45</v>
      </c>
      <c r="C27" s="53" t="s">
        <v>7</v>
      </c>
      <c r="D27" s="102">
        <v>1000</v>
      </c>
      <c r="E27" s="101">
        <f>E14/60</f>
        <v>108.66666666666667</v>
      </c>
      <c r="F27" s="250">
        <v>0</v>
      </c>
      <c r="G27" s="56">
        <f>E27*F27</f>
        <v>0</v>
      </c>
      <c r="I27" s="104"/>
      <c r="J27" s="107"/>
      <c r="K27" s="107"/>
      <c r="L27" s="107"/>
      <c r="M27" s="107"/>
      <c r="N27" s="107"/>
      <c r="O27" s="107"/>
      <c r="P27" s="107"/>
      <c r="Q27" s="3"/>
      <c r="R27" s="107"/>
      <c r="S27" s="3"/>
      <c r="T27" s="107"/>
      <c r="U27" s="107"/>
      <c r="V27" s="107"/>
      <c r="W27" s="107"/>
      <c r="X27" s="107"/>
      <c r="Y27" s="107"/>
      <c r="Z27" s="107"/>
      <c r="AA27" s="107"/>
      <c r="AB27" s="107"/>
      <c r="AC27" s="6"/>
      <c r="AD27" s="1"/>
      <c r="AE27"/>
      <c r="AF27"/>
      <c r="AG27"/>
      <c r="AH27"/>
    </row>
    <row r="28" spans="1:34" s="4" customFormat="1" ht="28.8" x14ac:dyDescent="0.3">
      <c r="A28" s="2"/>
      <c r="B28" s="99" t="s">
        <v>46</v>
      </c>
      <c r="C28" s="53" t="s">
        <v>7</v>
      </c>
      <c r="D28" s="102">
        <v>1250</v>
      </c>
      <c r="E28" s="101">
        <f>E14/31+E9</f>
        <v>245.32258064516128</v>
      </c>
      <c r="F28" s="250">
        <v>0</v>
      </c>
      <c r="G28" s="56">
        <f>E28*F28</f>
        <v>0</v>
      </c>
      <c r="I28" s="104"/>
      <c r="J28" s="107"/>
      <c r="K28" s="107"/>
      <c r="L28" s="107"/>
      <c r="M28" s="107"/>
      <c r="N28" s="107"/>
      <c r="O28" s="107"/>
      <c r="P28" s="107"/>
      <c r="Q28" s="3"/>
      <c r="R28" s="107"/>
      <c r="S28" s="3"/>
      <c r="T28" s="107"/>
      <c r="U28" s="107"/>
      <c r="V28" s="107"/>
      <c r="W28" s="107"/>
      <c r="X28" s="107"/>
      <c r="Y28" s="107"/>
      <c r="Z28" s="107"/>
      <c r="AA28" s="107"/>
      <c r="AB28" s="107"/>
      <c r="AC28" s="6"/>
      <c r="AD28" s="1"/>
      <c r="AE28"/>
      <c r="AF28"/>
      <c r="AG28"/>
      <c r="AH28"/>
    </row>
    <row r="29" spans="1:34" s="4" customFormat="1" x14ac:dyDescent="0.3">
      <c r="A29" s="2"/>
      <c r="B29" s="99" t="s">
        <v>49</v>
      </c>
      <c r="C29" s="53" t="s">
        <v>35</v>
      </c>
      <c r="D29" s="102">
        <v>100</v>
      </c>
      <c r="E29" s="53">
        <f>E14*3</f>
        <v>19560</v>
      </c>
      <c r="F29" s="250">
        <v>0</v>
      </c>
      <c r="G29" s="56">
        <f>E29*F29</f>
        <v>0</v>
      </c>
      <c r="I29" s="104"/>
      <c r="J29" s="107"/>
      <c r="K29" s="107"/>
      <c r="L29" s="107"/>
      <c r="M29" s="107"/>
      <c r="N29" s="107"/>
      <c r="O29" s="107"/>
      <c r="P29" s="107"/>
      <c r="Q29" s="3"/>
      <c r="R29" s="107"/>
      <c r="S29" s="3"/>
      <c r="T29" s="107"/>
      <c r="U29" s="107"/>
      <c r="V29" s="107"/>
      <c r="W29" s="107"/>
      <c r="X29" s="107"/>
      <c r="Y29" s="107"/>
      <c r="Z29" s="107"/>
      <c r="AA29" s="107"/>
      <c r="AB29" s="107"/>
      <c r="AC29" s="6"/>
      <c r="AD29" s="1"/>
      <c r="AE29"/>
      <c r="AF29"/>
      <c r="AG29"/>
      <c r="AH29"/>
    </row>
    <row r="30" spans="1:34" s="4" customFormat="1" ht="15" customHeight="1" x14ac:dyDescent="0.3">
      <c r="A30" s="2"/>
      <c r="B30" s="66" t="s">
        <v>21</v>
      </c>
      <c r="C30" s="67"/>
      <c r="D30" s="68"/>
      <c r="E30" s="69"/>
      <c r="F30" s="70"/>
      <c r="G30" s="71">
        <f>SUM(G13:G29)</f>
        <v>1153205</v>
      </c>
      <c r="I30" s="104"/>
      <c r="J30" s="107"/>
      <c r="K30" s="107"/>
      <c r="L30" s="107"/>
      <c r="M30" s="107"/>
      <c r="N30" s="107"/>
      <c r="O30" s="107"/>
      <c r="P30" s="107"/>
      <c r="Q30" s="3"/>
      <c r="R30" s="107"/>
      <c r="S30" s="3"/>
      <c r="T30" s="107"/>
      <c r="U30" s="107"/>
      <c r="V30" s="107"/>
      <c r="W30" s="107"/>
      <c r="X30" s="107"/>
      <c r="Y30" s="107"/>
      <c r="Z30" s="107"/>
      <c r="AA30" s="107"/>
      <c r="AB30" s="107"/>
      <c r="AC30" s="6"/>
      <c r="AD30" s="1"/>
      <c r="AE30"/>
      <c r="AF30"/>
      <c r="AG30"/>
      <c r="AH30"/>
    </row>
    <row r="31" spans="1:34" s="4" customFormat="1" ht="15" customHeight="1" x14ac:dyDescent="0.3">
      <c r="A31" s="2"/>
      <c r="B31" s="59"/>
      <c r="C31" s="35"/>
      <c r="D31" s="36"/>
      <c r="E31" s="37"/>
      <c r="F31" s="38"/>
      <c r="G31" s="60"/>
      <c r="I31" s="104"/>
      <c r="J31" s="107"/>
      <c r="K31" s="107"/>
      <c r="L31" s="107"/>
      <c r="M31" s="107"/>
      <c r="N31" s="107"/>
      <c r="O31" s="107"/>
      <c r="P31" s="107"/>
      <c r="Q31" s="3"/>
      <c r="R31" s="107"/>
      <c r="S31" s="3"/>
      <c r="T31" s="107"/>
      <c r="U31" s="107"/>
      <c r="V31" s="107"/>
      <c r="W31" s="107"/>
      <c r="X31" s="107"/>
      <c r="Y31" s="107"/>
      <c r="Z31" s="107"/>
      <c r="AA31" s="107"/>
      <c r="AB31" s="107"/>
      <c r="AC31" s="6"/>
      <c r="AD31" s="1"/>
      <c r="AE31"/>
      <c r="AF31"/>
      <c r="AG31"/>
      <c r="AH31"/>
    </row>
    <row r="32" spans="1:34" s="4" customFormat="1" ht="15" customHeight="1" x14ac:dyDescent="0.3">
      <c r="A32" s="2"/>
      <c r="B32" s="72" t="s">
        <v>22</v>
      </c>
      <c r="C32" s="383" t="s">
        <v>23</v>
      </c>
      <c r="D32" s="383"/>
      <c r="E32" s="383"/>
      <c r="F32" s="73">
        <v>0.1</v>
      </c>
      <c r="G32" s="246">
        <f>G30*F32</f>
        <v>115320.5</v>
      </c>
      <c r="I32" s="104"/>
      <c r="J32" s="107"/>
      <c r="K32" s="107"/>
      <c r="L32" s="107"/>
      <c r="M32" s="107"/>
      <c r="N32" s="107"/>
      <c r="O32" s="107"/>
      <c r="P32" s="107"/>
      <c r="Q32" s="3"/>
      <c r="R32" s="107"/>
      <c r="S32" s="3"/>
      <c r="T32" s="107"/>
      <c r="U32" s="107"/>
      <c r="V32" s="107"/>
      <c r="W32" s="107"/>
      <c r="X32" s="107"/>
      <c r="Y32" s="107"/>
      <c r="Z32" s="107"/>
      <c r="AA32" s="107"/>
      <c r="AB32" s="107"/>
      <c r="AC32" s="6"/>
      <c r="AD32" s="1"/>
      <c r="AE32"/>
      <c r="AF32"/>
      <c r="AG32"/>
      <c r="AH32"/>
    </row>
    <row r="33" spans="1:34" s="4" customFormat="1" ht="15" customHeight="1" x14ac:dyDescent="0.3">
      <c r="A33" s="2"/>
      <c r="B33" s="59" t="s">
        <v>24</v>
      </c>
      <c r="C33" s="35"/>
      <c r="D33" s="94"/>
      <c r="E33" s="95"/>
      <c r="F33" s="39"/>
      <c r="G33" s="60">
        <f>SUM(G30:G32)</f>
        <v>1268525.5</v>
      </c>
      <c r="I33" s="104"/>
      <c r="J33" s="107"/>
      <c r="K33" s="107"/>
      <c r="L33" s="107"/>
      <c r="M33" s="107"/>
      <c r="N33" s="107"/>
      <c r="O33" s="107"/>
      <c r="P33" s="107"/>
      <c r="Q33" s="3"/>
      <c r="R33" s="107"/>
      <c r="S33" s="3"/>
      <c r="T33" s="107"/>
      <c r="U33" s="107"/>
      <c r="V33" s="107"/>
      <c r="W33" s="107"/>
      <c r="X33" s="107"/>
      <c r="Y33" s="107"/>
      <c r="Z33" s="107"/>
      <c r="AA33" s="107"/>
      <c r="AB33" s="107"/>
      <c r="AC33" s="6"/>
      <c r="AD33" s="1"/>
      <c r="AE33"/>
      <c r="AF33"/>
      <c r="AG33"/>
      <c r="AH33"/>
    </row>
    <row r="34" spans="1:34" s="4" customFormat="1" ht="15" customHeight="1" x14ac:dyDescent="0.3">
      <c r="A34" s="2"/>
      <c r="B34" s="77" t="s">
        <v>25</v>
      </c>
      <c r="C34" s="384" t="s">
        <v>23</v>
      </c>
      <c r="D34" s="384"/>
      <c r="E34" s="384"/>
      <c r="F34" s="78">
        <v>0.1</v>
      </c>
      <c r="G34" s="79">
        <f>G33*F34</f>
        <v>126852.55</v>
      </c>
      <c r="I34" s="104"/>
      <c r="J34" s="107"/>
      <c r="K34" s="107"/>
      <c r="L34" s="107"/>
      <c r="M34" s="107"/>
      <c r="N34" s="107"/>
      <c r="O34" s="107"/>
      <c r="P34" s="107"/>
      <c r="Q34" s="3"/>
      <c r="R34" s="107"/>
      <c r="S34" s="3"/>
      <c r="T34" s="107"/>
      <c r="U34" s="107"/>
      <c r="V34" s="107"/>
      <c r="W34" s="107"/>
      <c r="X34" s="107"/>
      <c r="Y34" s="107"/>
      <c r="Z34" s="107"/>
      <c r="AA34" s="107"/>
      <c r="AB34" s="107"/>
      <c r="AC34" s="6"/>
      <c r="AD34" s="1"/>
      <c r="AE34"/>
      <c r="AF34"/>
      <c r="AG34"/>
      <c r="AH34"/>
    </row>
    <row r="35" spans="1:34" s="4" customFormat="1" ht="15" customHeight="1" thickBot="1" x14ac:dyDescent="0.35">
      <c r="A35" s="2"/>
      <c r="B35" s="80" t="s">
        <v>21</v>
      </c>
      <c r="C35" s="81"/>
      <c r="D35" s="96"/>
      <c r="E35" s="97"/>
      <c r="F35" s="82"/>
      <c r="G35" s="83">
        <f>SUM(G33:G34)</f>
        <v>1395378.05</v>
      </c>
      <c r="I35" s="104"/>
      <c r="J35" s="107"/>
      <c r="K35" s="107"/>
      <c r="L35" s="107"/>
      <c r="M35" s="107"/>
      <c r="N35" s="107"/>
      <c r="O35" s="107"/>
      <c r="P35" s="107"/>
      <c r="Q35" s="3"/>
      <c r="R35" s="107"/>
      <c r="S35" s="3"/>
      <c r="T35" s="107"/>
      <c r="U35" s="107"/>
      <c r="V35" s="107"/>
      <c r="W35" s="107"/>
      <c r="X35" s="107"/>
      <c r="Y35" s="107"/>
      <c r="Z35" s="107"/>
      <c r="AA35" s="107"/>
      <c r="AB35" s="107"/>
      <c r="AC35" s="6"/>
      <c r="AD35" s="1"/>
      <c r="AE35"/>
      <c r="AF35"/>
      <c r="AG35"/>
      <c r="AH35"/>
    </row>
    <row r="36" spans="1:34" s="4" customFormat="1" ht="15" customHeight="1" thickTop="1" x14ac:dyDescent="0.3">
      <c r="A36" s="2"/>
      <c r="B36" s="72" t="s">
        <v>26</v>
      </c>
      <c r="C36" s="377" t="s">
        <v>27</v>
      </c>
      <c r="D36" s="377"/>
      <c r="E36" s="377"/>
      <c r="F36" s="73">
        <v>0.25</v>
      </c>
      <c r="G36" s="247">
        <f>G35*F36</f>
        <v>348844.51250000001</v>
      </c>
      <c r="I36" s="107"/>
      <c r="J36" s="107"/>
      <c r="K36" s="107"/>
      <c r="L36" s="107"/>
      <c r="M36" s="107"/>
      <c r="N36" s="107"/>
      <c r="O36" s="107"/>
      <c r="P36" s="107"/>
      <c r="Q36" s="3"/>
      <c r="R36" s="107"/>
      <c r="S36" s="3"/>
      <c r="T36" s="107"/>
      <c r="U36" s="107"/>
      <c r="V36" s="107"/>
      <c r="W36" s="107"/>
      <c r="X36" s="107"/>
      <c r="Y36" s="107"/>
      <c r="Z36" s="107"/>
      <c r="AA36" s="107"/>
      <c r="AB36" s="107"/>
      <c r="AC36" s="6"/>
      <c r="AD36" s="1"/>
      <c r="AE36"/>
      <c r="AF36"/>
      <c r="AG36"/>
      <c r="AH36"/>
    </row>
    <row r="37" spans="1:34" s="4" customFormat="1" ht="15" customHeight="1" thickBot="1" x14ac:dyDescent="0.35">
      <c r="A37" s="2"/>
      <c r="B37" s="74" t="s">
        <v>28</v>
      </c>
      <c r="C37" s="378" t="s">
        <v>29</v>
      </c>
      <c r="D37" s="378"/>
      <c r="E37" s="378"/>
      <c r="F37" s="75">
        <v>0.05</v>
      </c>
      <c r="G37" s="76">
        <f>G36*F37</f>
        <v>17442.225625000003</v>
      </c>
      <c r="I37" s="107"/>
      <c r="J37" s="107"/>
      <c r="K37" s="107"/>
      <c r="L37" s="107"/>
      <c r="M37" s="107"/>
      <c r="N37" s="107"/>
      <c r="O37" s="107"/>
      <c r="P37" s="107"/>
      <c r="Q37" s="3"/>
      <c r="R37" s="107"/>
      <c r="S37" s="3"/>
      <c r="T37" s="107"/>
      <c r="U37" s="107"/>
      <c r="V37" s="107"/>
      <c r="W37" s="107"/>
      <c r="X37" s="107"/>
      <c r="Y37" s="107"/>
      <c r="Z37" s="107"/>
      <c r="AA37" s="107"/>
      <c r="AB37" s="107"/>
      <c r="AC37" s="6"/>
      <c r="AD37" s="1"/>
      <c r="AE37"/>
      <c r="AF37"/>
      <c r="AG37"/>
      <c r="AH37"/>
    </row>
    <row r="38" spans="1:34" s="4" customFormat="1" ht="15" customHeight="1" thickTop="1" x14ac:dyDescent="0.3">
      <c r="A38" s="2"/>
      <c r="B38" s="57"/>
      <c r="C38" s="41"/>
      <c r="D38" s="42"/>
      <c r="E38" s="43"/>
      <c r="F38" s="44"/>
      <c r="G38" s="58"/>
      <c r="I38" s="107"/>
      <c r="J38" s="107"/>
      <c r="K38" s="107"/>
      <c r="L38" s="107"/>
      <c r="M38" s="107"/>
      <c r="N38" s="107"/>
      <c r="O38" s="107"/>
      <c r="P38" s="107"/>
      <c r="Q38" s="3"/>
      <c r="R38" s="107"/>
      <c r="S38" s="3"/>
      <c r="T38" s="107"/>
      <c r="U38" s="107"/>
      <c r="V38" s="107"/>
      <c r="W38" s="107"/>
      <c r="X38" s="107"/>
      <c r="Y38" s="107"/>
      <c r="Z38" s="107"/>
      <c r="AA38" s="107"/>
      <c r="AB38" s="107"/>
      <c r="AC38" s="6"/>
      <c r="AD38" s="1"/>
      <c r="AE38"/>
      <c r="AF38"/>
      <c r="AG38"/>
      <c r="AH38"/>
    </row>
    <row r="39" spans="1:34" s="4" customFormat="1" ht="15" customHeight="1" thickBot="1" x14ac:dyDescent="0.35">
      <c r="A39" s="2"/>
      <c r="B39" s="61" t="s">
        <v>30</v>
      </c>
      <c r="C39" s="62"/>
      <c r="D39" s="63"/>
      <c r="E39" s="18"/>
      <c r="F39" s="64"/>
      <c r="G39" s="248">
        <f>SUM(G35,G36,G37)</f>
        <v>1761664.788125</v>
      </c>
      <c r="I39" s="107"/>
      <c r="J39" s="107"/>
      <c r="K39" s="107"/>
      <c r="L39" s="107"/>
      <c r="M39" s="107"/>
      <c r="N39" s="107"/>
      <c r="O39" s="107"/>
      <c r="P39" s="107"/>
      <c r="Q39" s="3"/>
      <c r="R39" s="107"/>
      <c r="S39" s="3"/>
      <c r="T39" s="107"/>
      <c r="U39" s="107"/>
      <c r="V39" s="107"/>
      <c r="W39" s="107"/>
      <c r="X39" s="107"/>
      <c r="Y39" s="107"/>
      <c r="Z39" s="107"/>
      <c r="AA39" s="107"/>
      <c r="AB39" s="107"/>
      <c r="AC39" s="6"/>
      <c r="AD39" s="1"/>
      <c r="AE39"/>
      <c r="AF39"/>
      <c r="AG39"/>
      <c r="AH39"/>
    </row>
  </sheetData>
  <sheetProtection sheet="1" objects="1" scenarios="1"/>
  <mergeCells count="8">
    <mergeCell ref="A1:H1"/>
    <mergeCell ref="A2:H2"/>
    <mergeCell ref="C36:E36"/>
    <mergeCell ref="C37:E37"/>
    <mergeCell ref="B4:G4"/>
    <mergeCell ref="B5:G5"/>
    <mergeCell ref="C32:E32"/>
    <mergeCell ref="C34:E34"/>
  </mergeCells>
  <phoneticPr fontId="13" type="noConversion"/>
  <dataValidations count="14">
    <dataValidation allowBlank="1" showInputMessage="1" showErrorMessage="1" promptTitle="Step 1" prompt="Provide an project description._x000a_" sqref="B5:G5" xr:uid="{3248945A-F028-4926-BF3D-4DB14A028E02}"/>
    <dataValidation allowBlank="1" showInputMessage="1" showErrorMessage="1" promptTitle="Step 2" prompt="Enter values with for Project Length in miles, 'Linear feet is auto-calculated by multiplying MILE LENGTH by 5280.  All subsequent fields use the linear footage to calculate quantities._x000a_" sqref="E8" xr:uid="{8AF2BD53-D90F-4F7F-9FCD-18A91A1FE32F}"/>
    <dataValidation allowBlank="1" showInputMessage="1" showErrorMessage="1" promptTitle="Step 3" prompt="Enter the number of Intersections._x000a_" sqref="E9" xr:uid="{827A7DFA-272C-4D81-9F07-1F45ED664788}"/>
    <dataValidation allowBlank="1" showInputMessage="1" showErrorMessage="1" promptTitle="Step 4" prompt="Enter the average intersection width in feet. Standard intersection is used to calculate pavement marking gaps and sign quantities in fields below." sqref="E10" xr:uid="{C17D0882-1EEF-4E2D-A240-B50336F3DC89}"/>
    <dataValidation allowBlank="1" showInputMessage="1" showErrorMessage="1" prompt="All pavement marking fields are automatically calculated based on project length, considering the number of intersections and average intersection width._x000a_" sqref="E13" xr:uid="{6500EB8F-D84F-4642-8471-2BA282D30F50}"/>
    <dataValidation allowBlank="1" showInputMessage="1" showErrorMessage="1" prompt="Subtotal of item quantity multiplied by the unit cost.  All unit costs are averaged from recent construction projects._x000a_" sqref="G13" xr:uid="{597B744D-6EAA-4505-8204-A76C3B1B5FFD}"/>
    <dataValidation allowBlank="1" showInputMessage="1" showErrorMessage="1" prompt="Bicycle Lane symbols and sharrows are calculated placement every 300 feet and on the far side of each intersection._x000a_" sqref="E14" xr:uid="{56F2FBE5-5DB0-4574-8F6C-C18DD4B694A4}"/>
    <dataValidation allowBlank="1" showInputMessage="1" showErrorMessage="1" prompt="All longitudinal pavement markings are calculated by project length, but does not account for markings through intersections. For this facility, no yellow pavement markings are included, but are auto calculated on appropriate facilities. _x000a_" sqref="E16" xr:uid="{DB80CC11-7BD2-4F78-9338-850BE8BCDCF0}"/>
    <dataValidation allowBlank="1" showInputMessage="1" showErrorMessage="1" promptTitle="All signs are paid for by sq. ft" prompt="The sign square footage is provided and multiplied by project requirements.  Sign quantity are calculated based on project length, required locations per intersections and project termini. Additional regulatory, advisory and wayfinding signs not included." sqref="G19" xr:uid="{739CD52A-8D5F-4F85-8627-92E3DD25583F}"/>
    <dataValidation allowBlank="1" showInputMessage="1" showErrorMessage="1" promptTitle="Step 5" prompt="Select separation and traffic calming features by adding cost to the &quot;Active Unit Cost&quot; field.  The quantity for separation is automatically calculated based on project length, number of intersections and intersection width.  _x000a_" sqref="F26" xr:uid="{5FBECB24-EDF3-4D43-82D1-3518F96B8F29}"/>
    <dataValidation allowBlank="1" showInputMessage="1" showErrorMessage="1" promptTitle="Passive Unit Cost" prompt="The &quot;Passive Unit Cost&quot; is a locked cell which states the current unit price for each features.  In the &quot;Active Unit Cost&quot; cell, type &quot;=&quot; and select the same &quot;Passive Unit Cost&quot; of the same feature.  The subtotal will automatically update. _x000a_" sqref="D26" xr:uid="{8DB0C7BA-C9F4-4794-BC6B-F70FD3A19C8D}"/>
    <dataValidation allowBlank="1" showInputMessage="1" showErrorMessage="1" promptTitle="Mobilization" prompt="With the approximate construction costs calculated, mobilization is added as 10% of construction costs.  With the construction total established, the design costs are determined based on a percentage of the project. _x000a_" sqref="G32" xr:uid="{DD5208F2-92AE-4D1B-B6C4-ED1B3D947B6A}"/>
    <dataValidation allowBlank="1" showInputMessage="1" showErrorMessage="1" promptTitle="Design and Permitting" prompt="Design and permitting costs are calculated at 25% of construction costs._x000a_Preliminary site investigation is calculated at 5% of design costs._x000a_" sqref="G36" xr:uid="{EA0FDB7B-840F-431D-BD06-A1139BE53458}"/>
    <dataValidation allowBlank="1" showInputMessage="1" showErrorMessage="1" prompt="The total project cost is provided for the planning, design and construction of the specific bicycle project.  _x000a_" sqref="G39" xr:uid="{E3F21E29-F8D6-4AD3-B666-BAFA1A5BAEAD}"/>
  </dataValidations>
  <pageMargins left="0.25" right="0.25" top="0.75" bottom="0.75" header="0.3" footer="0.3"/>
  <pageSetup fitToHeight="0" orientation="portrait" r:id="rId1"/>
  <headerFooter>
    <oddHeader>&amp;A</oddHeader>
    <oddFooter>Page &amp;P of &amp;N</oddFooter>
  </headerFooter>
  <rowBreaks count="1" manualBreakCount="1">
    <brk id="24" max="7" man="1"/>
  </rowBreaks>
  <ignoredErrors>
    <ignoredError sqref="G3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791CD-AB72-4340-B2D2-3EB0A02DB6C3}">
  <sheetPr>
    <pageSetUpPr fitToPage="1"/>
  </sheetPr>
  <dimension ref="A1:AH30"/>
  <sheetViews>
    <sheetView zoomScaleNormal="100" workbookViewId="0">
      <selection activeCell="I15" sqref="I15"/>
    </sheetView>
  </sheetViews>
  <sheetFormatPr defaultColWidth="9.109375" defaultRowHeight="14.4" x14ac:dyDescent="0.3"/>
  <cols>
    <col min="1" max="1" width="8.6640625" style="192" customWidth="1"/>
    <col min="2" max="2" width="26" style="170" customWidth="1"/>
    <col min="3" max="3" width="11.88671875" style="195" customWidth="1"/>
    <col min="4" max="4" width="8.6640625" style="195" customWidth="1"/>
    <col min="5" max="5" width="12.33203125" style="168" customWidth="1"/>
    <col min="6" max="6" width="12" style="168" customWidth="1"/>
    <col min="7" max="7" width="11.109375" style="168" customWidth="1"/>
    <col min="8" max="8" width="13.88671875" style="195" customWidth="1"/>
    <col min="9" max="9" width="25.33203125" style="167" customWidth="1"/>
    <col min="10" max="10" width="12.6640625" style="167" customWidth="1"/>
    <col min="11" max="11" width="14" style="167" customWidth="1"/>
    <col min="12" max="16" width="12.6640625" style="167" customWidth="1"/>
    <col min="17" max="17" width="14.44140625" style="168" bestFit="1" customWidth="1"/>
    <col min="18" max="18" width="12.6640625" style="167" customWidth="1"/>
    <col min="19" max="19" width="10.5546875" style="168" customWidth="1"/>
    <col min="20" max="23" width="12.6640625" style="167" customWidth="1"/>
    <col min="24" max="24" width="14.33203125" style="167" customWidth="1"/>
    <col min="25" max="26" width="12.6640625" style="167" customWidth="1"/>
    <col min="27" max="27" width="15.33203125" style="167" customWidth="1"/>
    <col min="28" max="28" width="12.6640625" style="167" customWidth="1"/>
    <col min="29" max="29" width="12.6640625" style="169" customWidth="1"/>
    <col min="30" max="30" width="23" style="170" customWidth="1"/>
    <col min="31" max="31" width="9.109375" style="163"/>
    <col min="32" max="32" width="9.5546875" style="163" bestFit="1" customWidth="1"/>
    <col min="33" max="33" width="11.6640625" style="163" bestFit="1" customWidth="1"/>
    <col min="34" max="16384" width="9.109375" style="163"/>
  </cols>
  <sheetData>
    <row r="1" spans="1:34" ht="15" thickBot="1" x14ac:dyDescent="0.35">
      <c r="A1" s="154"/>
      <c r="B1" s="155"/>
      <c r="C1" s="156"/>
      <c r="D1" s="157"/>
      <c r="E1" s="158"/>
      <c r="F1" s="158"/>
      <c r="G1" s="158"/>
      <c r="H1" s="156"/>
      <c r="I1" s="159"/>
      <c r="J1" s="160"/>
      <c r="K1" s="160"/>
      <c r="L1" s="159"/>
      <c r="M1" s="159"/>
      <c r="N1" s="160"/>
      <c r="O1" s="159"/>
      <c r="P1" s="159"/>
      <c r="Q1" s="158"/>
      <c r="R1" s="159"/>
      <c r="S1" s="158"/>
      <c r="T1" s="159"/>
      <c r="U1" s="159"/>
      <c r="V1" s="159"/>
      <c r="W1" s="159"/>
      <c r="X1" s="159"/>
      <c r="Y1" s="159"/>
      <c r="Z1" s="159"/>
      <c r="AA1" s="159"/>
      <c r="AB1" s="159"/>
      <c r="AC1" s="161"/>
      <c r="AD1" s="162"/>
      <c r="AF1" s="164"/>
      <c r="AG1" s="165"/>
    </row>
    <row r="2" spans="1:34" ht="57.6" x14ac:dyDescent="0.3">
      <c r="A2" s="166"/>
      <c r="B2" s="386" t="s">
        <v>0</v>
      </c>
      <c r="C2" s="387"/>
      <c r="D2" s="387"/>
      <c r="E2" s="387"/>
      <c r="F2" s="387"/>
      <c r="G2" s="388"/>
      <c r="H2" s="166"/>
      <c r="I2" s="275" t="s">
        <v>160</v>
      </c>
      <c r="J2" s="276"/>
      <c r="K2" s="276"/>
      <c r="L2" s="276"/>
      <c r="M2" s="276"/>
      <c r="N2" s="276"/>
      <c r="O2" s="276"/>
      <c r="P2" s="276"/>
      <c r="Q2" s="276"/>
    </row>
    <row r="3" spans="1:34" s="167" customFormat="1" ht="15.75" customHeight="1" thickBot="1" x14ac:dyDescent="0.35">
      <c r="A3" s="166"/>
      <c r="B3" s="389" t="s">
        <v>128</v>
      </c>
      <c r="C3" s="389"/>
      <c r="D3" s="389"/>
      <c r="E3" s="389"/>
      <c r="F3" s="389"/>
      <c r="G3" s="389"/>
      <c r="H3" s="166"/>
      <c r="I3" s="276"/>
      <c r="J3" s="276"/>
      <c r="K3" s="276"/>
      <c r="L3" s="276"/>
      <c r="M3" s="276"/>
      <c r="N3" s="276"/>
      <c r="O3" s="276"/>
      <c r="P3" s="276"/>
      <c r="Q3" s="276"/>
      <c r="S3" s="168"/>
      <c r="AC3" s="169"/>
      <c r="AD3" s="170"/>
      <c r="AE3" s="163"/>
      <c r="AF3" s="163"/>
      <c r="AG3" s="163"/>
      <c r="AH3" s="163"/>
    </row>
    <row r="4" spans="1:34" s="167" customFormat="1" x14ac:dyDescent="0.3">
      <c r="A4" s="166"/>
      <c r="B4" s="171" t="s">
        <v>1</v>
      </c>
      <c r="C4" s="172"/>
      <c r="D4" s="172"/>
      <c r="E4" s="173" t="s">
        <v>2</v>
      </c>
      <c r="F4" s="174"/>
      <c r="G4" s="175"/>
      <c r="H4" s="166"/>
      <c r="I4" s="166"/>
      <c r="Q4" s="168"/>
      <c r="S4" s="168"/>
      <c r="AC4" s="169"/>
      <c r="AD4" s="170"/>
      <c r="AE4" s="163"/>
      <c r="AF4" s="163"/>
      <c r="AG4" s="163"/>
      <c r="AH4" s="163"/>
    </row>
    <row r="5" spans="1:34" s="167" customFormat="1" ht="15.6" x14ac:dyDescent="0.3">
      <c r="A5" s="166"/>
      <c r="B5" s="176" t="s">
        <v>3</v>
      </c>
      <c r="C5" s="177" t="s">
        <v>4</v>
      </c>
      <c r="D5" s="178"/>
      <c r="E5" s="151">
        <f>E6*5280</f>
        <v>7920</v>
      </c>
      <c r="F5" s="177"/>
      <c r="G5" s="179"/>
      <c r="H5" s="166"/>
      <c r="I5" s="166"/>
      <c r="Q5" s="168"/>
      <c r="S5" s="168"/>
      <c r="AC5" s="169"/>
      <c r="AD5" s="170"/>
      <c r="AE5" s="163"/>
      <c r="AF5" s="163"/>
      <c r="AG5" s="163"/>
      <c r="AH5" s="163"/>
    </row>
    <row r="6" spans="1:34" s="167" customFormat="1" ht="15.6" x14ac:dyDescent="0.3">
      <c r="A6" s="166"/>
      <c r="B6" s="176" t="s">
        <v>3</v>
      </c>
      <c r="C6" s="177" t="s">
        <v>5</v>
      </c>
      <c r="D6" s="178"/>
      <c r="E6" s="277">
        <v>1.5</v>
      </c>
      <c r="F6" s="177"/>
      <c r="G6" s="179"/>
      <c r="H6" s="166"/>
      <c r="I6" s="166"/>
      <c r="Q6" s="168"/>
      <c r="S6" s="168"/>
      <c r="AC6" s="169"/>
      <c r="AD6" s="170"/>
      <c r="AE6" s="163"/>
      <c r="AF6" s="163"/>
      <c r="AG6" s="163"/>
      <c r="AH6" s="163"/>
    </row>
    <row r="7" spans="1:34" s="167" customFormat="1" ht="15.6" x14ac:dyDescent="0.3">
      <c r="A7" s="166"/>
      <c r="B7" s="180" t="s">
        <v>6</v>
      </c>
      <c r="C7" s="181" t="s">
        <v>7</v>
      </c>
      <c r="D7" s="178"/>
      <c r="E7" s="278">
        <v>12</v>
      </c>
      <c r="F7" s="182"/>
      <c r="G7" s="179"/>
      <c r="H7" s="166"/>
      <c r="I7" s="166"/>
      <c r="Q7" s="168"/>
      <c r="S7" s="168"/>
      <c r="AC7" s="169"/>
      <c r="AD7" s="170"/>
      <c r="AE7" s="163"/>
      <c r="AF7" s="163"/>
      <c r="AG7" s="163"/>
      <c r="AH7" s="163"/>
    </row>
    <row r="8" spans="1:34" s="167" customFormat="1" ht="15.6" x14ac:dyDescent="0.3">
      <c r="A8" s="166"/>
      <c r="B8" s="183" t="s">
        <v>8</v>
      </c>
      <c r="C8" s="184" t="s">
        <v>4</v>
      </c>
      <c r="D8" s="178"/>
      <c r="E8" s="278">
        <v>40</v>
      </c>
      <c r="F8" s="182"/>
      <c r="G8" s="179"/>
      <c r="H8" s="166"/>
      <c r="I8" s="166"/>
      <c r="Q8" s="168"/>
      <c r="S8" s="168"/>
      <c r="AC8" s="169"/>
      <c r="AD8" s="170"/>
      <c r="AE8" s="163"/>
      <c r="AF8" s="163"/>
      <c r="AG8" s="163"/>
      <c r="AH8" s="163"/>
    </row>
    <row r="9" spans="1:34" s="167" customFormat="1" ht="15.6" x14ac:dyDescent="0.3">
      <c r="A9" s="166"/>
      <c r="B9" s="183"/>
      <c r="C9" s="184"/>
      <c r="D9" s="178"/>
      <c r="E9" s="151"/>
      <c r="F9" s="185"/>
      <c r="G9" s="179"/>
      <c r="H9" s="166"/>
      <c r="I9" s="166"/>
      <c r="Q9" s="168"/>
      <c r="S9" s="168"/>
      <c r="AC9" s="169"/>
      <c r="AD9" s="170"/>
      <c r="AE9" s="163"/>
      <c r="AF9" s="163"/>
      <c r="AG9" s="163"/>
      <c r="AH9" s="163"/>
    </row>
    <row r="10" spans="1:34" s="167" customFormat="1" x14ac:dyDescent="0.3">
      <c r="A10" s="166"/>
      <c r="B10" s="186" t="s">
        <v>9</v>
      </c>
      <c r="C10" s="187"/>
      <c r="D10" s="188"/>
      <c r="E10" s="187" t="s">
        <v>2</v>
      </c>
      <c r="F10" s="189" t="s">
        <v>10</v>
      </c>
      <c r="G10" s="190"/>
      <c r="H10" s="166"/>
      <c r="I10" s="166"/>
      <c r="Q10" s="168"/>
      <c r="S10" s="168"/>
      <c r="AC10" s="169"/>
      <c r="AD10" s="170"/>
      <c r="AE10" s="163"/>
      <c r="AF10" s="163"/>
      <c r="AG10" s="163"/>
      <c r="AH10" s="163"/>
    </row>
    <row r="11" spans="1:34" s="167" customFormat="1" ht="15.6" x14ac:dyDescent="0.3">
      <c r="A11" s="166"/>
      <c r="B11" s="183" t="s">
        <v>11</v>
      </c>
      <c r="C11" s="184" t="s">
        <v>7</v>
      </c>
      <c r="D11" s="178"/>
      <c r="E11" s="151">
        <f>E5/300+E7</f>
        <v>38.4</v>
      </c>
      <c r="F11" s="185">
        <v>500</v>
      </c>
      <c r="G11" s="179">
        <f>E11*F11</f>
        <v>19200</v>
      </c>
      <c r="H11" s="166"/>
      <c r="I11" s="166"/>
      <c r="Q11" s="168"/>
      <c r="S11" s="168"/>
      <c r="AC11" s="169"/>
      <c r="AD11" s="170"/>
      <c r="AE11" s="163"/>
      <c r="AF11" s="163"/>
      <c r="AG11" s="163"/>
      <c r="AH11" s="163"/>
    </row>
    <row r="12" spans="1:34" s="167" customFormat="1" ht="28.8" x14ac:dyDescent="0.3">
      <c r="A12" s="166"/>
      <c r="B12" s="191" t="s">
        <v>12</v>
      </c>
      <c r="C12" s="184" t="s">
        <v>4</v>
      </c>
      <c r="D12" s="178"/>
      <c r="E12" s="259">
        <v>0</v>
      </c>
      <c r="F12" s="185">
        <v>20</v>
      </c>
      <c r="G12" s="179">
        <f>E12*F12</f>
        <v>0</v>
      </c>
      <c r="H12" s="166"/>
      <c r="I12" s="166"/>
      <c r="Q12" s="168"/>
      <c r="S12" s="168"/>
      <c r="AC12" s="169"/>
      <c r="AD12" s="170"/>
      <c r="AE12" s="163"/>
      <c r="AF12" s="163"/>
      <c r="AG12" s="163"/>
      <c r="AH12" s="163"/>
    </row>
    <row r="13" spans="1:34" s="167" customFormat="1" ht="28.8" x14ac:dyDescent="0.3">
      <c r="A13" s="166"/>
      <c r="B13" s="191" t="s">
        <v>13</v>
      </c>
      <c r="C13" s="184" t="s">
        <v>4</v>
      </c>
      <c r="D13" s="151"/>
      <c r="E13" s="259">
        <v>0</v>
      </c>
      <c r="F13" s="185">
        <v>20</v>
      </c>
      <c r="G13" s="179">
        <f>D13*F13</f>
        <v>0</v>
      </c>
      <c r="H13" s="166"/>
      <c r="I13" s="166"/>
      <c r="Q13" s="168"/>
      <c r="S13" s="168"/>
      <c r="AC13" s="169"/>
      <c r="AD13" s="170"/>
      <c r="AE13" s="163"/>
      <c r="AF13" s="163"/>
      <c r="AG13" s="163"/>
      <c r="AH13" s="163"/>
    </row>
    <row r="14" spans="1:34" s="167" customFormat="1" ht="15.6" x14ac:dyDescent="0.3">
      <c r="A14" s="166"/>
      <c r="B14" s="191"/>
      <c r="C14" s="184"/>
      <c r="D14" s="151"/>
      <c r="E14" s="152"/>
      <c r="F14" s="185"/>
      <c r="G14" s="179"/>
      <c r="H14" s="166"/>
      <c r="I14" s="166"/>
      <c r="Q14" s="168"/>
      <c r="S14" s="168"/>
      <c r="AC14" s="169"/>
      <c r="AD14" s="170"/>
      <c r="AE14" s="163"/>
      <c r="AF14" s="163"/>
      <c r="AG14" s="163"/>
      <c r="AH14" s="163"/>
    </row>
    <row r="15" spans="1:34" ht="28.8" x14ac:dyDescent="0.3">
      <c r="B15" s="186" t="s">
        <v>14</v>
      </c>
      <c r="C15" s="187" t="s">
        <v>15</v>
      </c>
      <c r="D15" s="193" t="s">
        <v>16</v>
      </c>
      <c r="E15" s="194" t="s">
        <v>2</v>
      </c>
      <c r="F15" s="189" t="s">
        <v>10</v>
      </c>
      <c r="G15" s="190"/>
      <c r="I15" s="196"/>
    </row>
    <row r="16" spans="1:34" ht="15.6" x14ac:dyDescent="0.3">
      <c r="B16" s="197" t="s">
        <v>120</v>
      </c>
      <c r="C16" s="152" t="s">
        <v>17</v>
      </c>
      <c r="D16" s="151">
        <v>3</v>
      </c>
      <c r="E16" s="152">
        <f>E6*2+E7</f>
        <v>15</v>
      </c>
      <c r="F16" s="185">
        <v>50</v>
      </c>
      <c r="G16" s="198">
        <f>D16*E16*F16</f>
        <v>2250</v>
      </c>
      <c r="I16" s="196"/>
    </row>
    <row r="17" spans="1:34" x14ac:dyDescent="0.3">
      <c r="B17" s="197" t="s">
        <v>121</v>
      </c>
      <c r="C17" s="152" t="s">
        <v>18</v>
      </c>
      <c r="D17" s="153">
        <v>1.3</v>
      </c>
      <c r="E17" s="260">
        <v>0</v>
      </c>
      <c r="F17" s="185">
        <v>50</v>
      </c>
      <c r="G17" s="198">
        <f>D17*E17*F17</f>
        <v>0</v>
      </c>
      <c r="I17" s="196"/>
    </row>
    <row r="18" spans="1:34" x14ac:dyDescent="0.3">
      <c r="B18" s="197" t="s">
        <v>122</v>
      </c>
      <c r="C18" s="152" t="s">
        <v>18</v>
      </c>
      <c r="D18" s="153">
        <v>1.3</v>
      </c>
      <c r="E18" s="260">
        <v>0</v>
      </c>
      <c r="F18" s="185">
        <v>50</v>
      </c>
      <c r="G18" s="198">
        <f t="shared" ref="G18:G20" si="0">D18*E18*F18</f>
        <v>0</v>
      </c>
      <c r="I18" s="196"/>
    </row>
    <row r="19" spans="1:34" ht="28.8" x14ac:dyDescent="0.3">
      <c r="B19" s="197" t="s">
        <v>123</v>
      </c>
      <c r="C19" s="152" t="s">
        <v>19</v>
      </c>
      <c r="D19" s="153">
        <v>7.5</v>
      </c>
      <c r="E19" s="153">
        <f>E7</f>
        <v>12</v>
      </c>
      <c r="F19" s="185">
        <v>50</v>
      </c>
      <c r="G19" s="198">
        <f t="shared" si="0"/>
        <v>4500</v>
      </c>
      <c r="I19" s="196"/>
    </row>
    <row r="20" spans="1:34" ht="28.8" x14ac:dyDescent="0.3">
      <c r="B20" s="197" t="s">
        <v>124</v>
      </c>
      <c r="C20" s="152" t="s">
        <v>20</v>
      </c>
      <c r="D20" s="153">
        <v>6.25</v>
      </c>
      <c r="E20" s="260">
        <v>0</v>
      </c>
      <c r="F20" s="185">
        <v>50</v>
      </c>
      <c r="G20" s="198">
        <f t="shared" si="0"/>
        <v>0</v>
      </c>
      <c r="I20" s="196"/>
    </row>
    <row r="21" spans="1:34" ht="15" customHeight="1" x14ac:dyDescent="0.3">
      <c r="B21" s="201" t="s">
        <v>21</v>
      </c>
      <c r="C21" s="202"/>
      <c r="D21" s="203"/>
      <c r="E21" s="204"/>
      <c r="F21" s="205"/>
      <c r="G21" s="206">
        <f>SUM(G11:G20)</f>
        <v>25950</v>
      </c>
      <c r="I21" s="196"/>
    </row>
    <row r="22" spans="1:34" ht="15" customHeight="1" x14ac:dyDescent="0.3">
      <c r="B22" s="207"/>
      <c r="C22" s="208"/>
      <c r="D22" s="209"/>
      <c r="E22" s="210"/>
      <c r="F22" s="211"/>
      <c r="G22" s="212"/>
      <c r="I22" s="196"/>
    </row>
    <row r="23" spans="1:34" ht="15" customHeight="1" x14ac:dyDescent="0.3">
      <c r="B23" s="213" t="s">
        <v>22</v>
      </c>
      <c r="C23" s="390" t="s">
        <v>23</v>
      </c>
      <c r="D23" s="390"/>
      <c r="E23" s="390"/>
      <c r="F23" s="214">
        <v>0.1</v>
      </c>
      <c r="G23" s="215">
        <f>G21*F23</f>
        <v>2595</v>
      </c>
      <c r="I23" s="196"/>
    </row>
    <row r="24" spans="1:34" ht="15" customHeight="1" x14ac:dyDescent="0.3">
      <c r="B24" s="207" t="s">
        <v>24</v>
      </c>
      <c r="C24" s="208"/>
      <c r="D24" s="216"/>
      <c r="E24" s="217"/>
      <c r="F24" s="218"/>
      <c r="G24" s="212">
        <f>SUM(G21:G23)</f>
        <v>28545</v>
      </c>
      <c r="I24" s="196"/>
    </row>
    <row r="25" spans="1:34" ht="15" customHeight="1" x14ac:dyDescent="0.3">
      <c r="B25" s="219" t="s">
        <v>25</v>
      </c>
      <c r="C25" s="391" t="s">
        <v>23</v>
      </c>
      <c r="D25" s="391"/>
      <c r="E25" s="391"/>
      <c r="F25" s="220">
        <v>0.1</v>
      </c>
      <c r="G25" s="221">
        <f>G24*F25</f>
        <v>2854.5</v>
      </c>
      <c r="I25" s="196"/>
    </row>
    <row r="26" spans="1:34" s="195" customFormat="1" ht="15" customHeight="1" thickBot="1" x14ac:dyDescent="0.35">
      <c r="A26" s="192"/>
      <c r="B26" s="222" t="s">
        <v>21</v>
      </c>
      <c r="C26" s="223"/>
      <c r="D26" s="224"/>
      <c r="E26" s="225"/>
      <c r="F26" s="226"/>
      <c r="G26" s="227">
        <f>SUM(G24:G25)</f>
        <v>31399.5</v>
      </c>
      <c r="I26" s="196"/>
      <c r="J26" s="167"/>
      <c r="K26" s="167"/>
      <c r="L26" s="167"/>
      <c r="M26" s="167"/>
      <c r="N26" s="167"/>
      <c r="O26" s="167"/>
      <c r="P26" s="167"/>
      <c r="Q26" s="168"/>
      <c r="R26" s="167"/>
      <c r="S26" s="168"/>
      <c r="T26" s="167"/>
      <c r="U26" s="167"/>
      <c r="V26" s="167"/>
      <c r="W26" s="167"/>
      <c r="X26" s="167"/>
      <c r="Y26" s="167"/>
      <c r="Z26" s="167"/>
      <c r="AA26" s="167"/>
      <c r="AB26" s="167"/>
      <c r="AC26" s="169"/>
      <c r="AD26" s="170"/>
      <c r="AE26" s="163"/>
      <c r="AF26" s="163"/>
      <c r="AG26" s="163"/>
      <c r="AH26" s="163"/>
    </row>
    <row r="27" spans="1:34" s="195" customFormat="1" ht="15" customHeight="1" thickTop="1" x14ac:dyDescent="0.3">
      <c r="A27" s="192"/>
      <c r="B27" s="213" t="s">
        <v>26</v>
      </c>
      <c r="C27" s="392" t="s">
        <v>27</v>
      </c>
      <c r="D27" s="392"/>
      <c r="E27" s="392"/>
      <c r="F27" s="214">
        <v>0.25</v>
      </c>
      <c r="G27" s="228">
        <f>G26*F27</f>
        <v>7849.875</v>
      </c>
      <c r="I27" s="196"/>
      <c r="J27" s="167"/>
      <c r="K27" s="167"/>
      <c r="L27" s="167"/>
      <c r="M27" s="167"/>
      <c r="N27" s="167"/>
      <c r="O27" s="167"/>
      <c r="P27" s="167"/>
      <c r="Q27" s="168"/>
      <c r="R27" s="167"/>
      <c r="S27" s="168"/>
      <c r="T27" s="167"/>
      <c r="U27" s="167"/>
      <c r="V27" s="167"/>
      <c r="W27" s="167"/>
      <c r="X27" s="167"/>
      <c r="Y27" s="167"/>
      <c r="Z27" s="167"/>
      <c r="AA27" s="167"/>
      <c r="AB27" s="167"/>
      <c r="AC27" s="169"/>
      <c r="AD27" s="170"/>
      <c r="AE27" s="163"/>
      <c r="AF27" s="163"/>
      <c r="AG27" s="163"/>
      <c r="AH27" s="163"/>
    </row>
    <row r="28" spans="1:34" s="195" customFormat="1" ht="15" customHeight="1" thickBot="1" x14ac:dyDescent="0.35">
      <c r="A28" s="192"/>
      <c r="B28" s="229" t="s">
        <v>28</v>
      </c>
      <c r="C28" s="385" t="s">
        <v>29</v>
      </c>
      <c r="D28" s="385"/>
      <c r="E28" s="385"/>
      <c r="F28" s="230">
        <v>0.05</v>
      </c>
      <c r="G28" s="231">
        <f>G27*F28</f>
        <v>392.49375000000003</v>
      </c>
      <c r="I28" s="196"/>
      <c r="J28" s="167"/>
      <c r="K28" s="167"/>
      <c r="L28" s="167"/>
      <c r="M28" s="167"/>
      <c r="N28" s="167"/>
      <c r="O28" s="167"/>
      <c r="P28" s="167"/>
      <c r="Q28" s="168"/>
      <c r="R28" s="167"/>
      <c r="S28" s="168"/>
      <c r="T28" s="167"/>
      <c r="U28" s="167"/>
      <c r="V28" s="167"/>
      <c r="W28" s="167"/>
      <c r="X28" s="167"/>
      <c r="Y28" s="167"/>
      <c r="Z28" s="167"/>
      <c r="AA28" s="167"/>
      <c r="AB28" s="167"/>
      <c r="AC28" s="169"/>
      <c r="AD28" s="170"/>
      <c r="AE28" s="163"/>
      <c r="AF28" s="163"/>
      <c r="AG28" s="163"/>
      <c r="AH28" s="163"/>
    </row>
    <row r="29" spans="1:34" s="195" customFormat="1" ht="15" customHeight="1" thickTop="1" x14ac:dyDescent="0.3">
      <c r="A29" s="192"/>
      <c r="B29" s="232"/>
      <c r="C29" s="233"/>
      <c r="D29" s="234"/>
      <c r="E29" s="235"/>
      <c r="F29" s="182"/>
      <c r="G29" s="236"/>
      <c r="I29" s="196"/>
      <c r="J29" s="167"/>
      <c r="K29" s="167"/>
      <c r="L29" s="167"/>
      <c r="M29" s="167"/>
      <c r="N29" s="167"/>
      <c r="O29" s="167"/>
      <c r="P29" s="167"/>
      <c r="Q29" s="168"/>
      <c r="R29" s="167"/>
      <c r="S29" s="168"/>
      <c r="T29" s="167"/>
      <c r="U29" s="167"/>
      <c r="V29" s="167"/>
      <c r="W29" s="167"/>
      <c r="X29" s="167"/>
      <c r="Y29" s="167"/>
      <c r="Z29" s="167"/>
      <c r="AA29" s="167"/>
      <c r="AB29" s="167"/>
      <c r="AC29" s="169"/>
      <c r="AD29" s="170"/>
      <c r="AE29" s="163"/>
      <c r="AF29" s="163"/>
      <c r="AG29" s="163"/>
      <c r="AH29" s="163"/>
    </row>
    <row r="30" spans="1:34" s="195" customFormat="1" ht="15" customHeight="1" thickBot="1" x14ac:dyDescent="0.35">
      <c r="A30" s="192"/>
      <c r="B30" s="237" t="s">
        <v>30</v>
      </c>
      <c r="C30" s="238"/>
      <c r="D30" s="239"/>
      <c r="E30" s="240"/>
      <c r="F30" s="241"/>
      <c r="G30" s="242">
        <f>SUM(G26,G27,G28)</f>
        <v>39641.868750000001</v>
      </c>
      <c r="I30" s="196"/>
      <c r="J30" s="167"/>
      <c r="K30" s="167"/>
      <c r="L30" s="167"/>
      <c r="M30" s="167"/>
      <c r="N30" s="167"/>
      <c r="O30" s="167"/>
      <c r="P30" s="167"/>
      <c r="Q30" s="168"/>
      <c r="R30" s="167"/>
      <c r="S30" s="168"/>
      <c r="T30" s="167"/>
      <c r="U30" s="167"/>
      <c r="V30" s="167"/>
      <c r="W30" s="167"/>
      <c r="X30" s="167"/>
      <c r="Y30" s="167"/>
      <c r="Z30" s="167"/>
      <c r="AA30" s="167"/>
      <c r="AB30" s="167"/>
      <c r="AC30" s="169"/>
      <c r="AD30" s="170"/>
      <c r="AE30" s="163"/>
      <c r="AF30" s="163"/>
      <c r="AG30" s="163"/>
      <c r="AH30" s="163"/>
    </row>
  </sheetData>
  <sheetProtection sheet="1" objects="1" scenarios="1"/>
  <mergeCells count="6">
    <mergeCell ref="C28:E28"/>
    <mergeCell ref="B2:G2"/>
    <mergeCell ref="B3:G3"/>
    <mergeCell ref="C23:E23"/>
    <mergeCell ref="C25:E25"/>
    <mergeCell ref="C27:E27"/>
  </mergeCells>
  <dataValidations count="5">
    <dataValidation allowBlank="1" showInputMessage="1" showErrorMessage="1" prompt="Shared lanes are roadways where bicycle traffic and motor vehicle traffic share the same travel lane. Shared lanes have no physical features which create a more inviting cycling experience and are not suitable for most people bicycling.  " sqref="B2:G2" xr:uid="{E577A33E-28D9-43C4-ABAD-087DF180901D}"/>
    <dataValidation allowBlank="1" showInputMessage="1" showErrorMessage="1" prompt="To further improve LTS on shared lanes, see the BIKE BLVD tab for traffic calming features.  Shared lanes with an acceptable LTS must have very low traffic volumes (&lt;1000 ADT) and low motor vehicle operating speeds (&lt;25 mph)._x000a_" sqref="B3:G3" xr:uid="{C66A68ED-E71D-4472-8C61-290CF007E7B8}"/>
    <dataValidation allowBlank="1" showInputMessage="1" showErrorMessage="1" promptTitle="Bike Lane Ahead" prompt="Enter additional quanities for this type of sign, if desired or required." sqref="E17" xr:uid="{3E77CE57-608C-4A61-88C6-2DCC878B2D5F}"/>
    <dataValidation allowBlank="1" showInputMessage="1" showErrorMessage="1" promptTitle="Bike Lane Ends" prompt="Enter additional quanities for this type of sign, if desired or required." sqref="E18" xr:uid="{871178FE-E0FD-4511-AD3A-06194FDDC8A4}"/>
    <dataValidation allowBlank="1" showInputMessage="1" showErrorMessage="1" promptTitle="Bikes May Use Full Lane" prompt="Enter additional quanities for this type of sign, if desired or required." sqref="E20" xr:uid="{27729404-8070-49AD-A0DF-7E73C23B0923}"/>
  </dataValidations>
  <pageMargins left="0.25" right="0.25" top="0.75" bottom="0.75" header="0.3" footer="0.3"/>
  <pageSetup paperSize="3" scale="78" fitToHeight="0" orientation="landscape" r:id="rId1"/>
  <ignoredErrors>
    <ignoredError sqref="G2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8559-9940-4B21-A574-BD5131A68B3F}">
  <sheetPr>
    <pageSetUpPr fitToPage="1"/>
  </sheetPr>
  <dimension ref="A1:AH38"/>
  <sheetViews>
    <sheetView zoomScaleNormal="100" workbookViewId="0">
      <selection activeCell="B2" sqref="B2:G2"/>
    </sheetView>
  </sheetViews>
  <sheetFormatPr defaultColWidth="8.88671875" defaultRowHeight="14.4" x14ac:dyDescent="0.3"/>
  <cols>
    <col min="1" max="1" width="8.6640625" style="192" customWidth="1"/>
    <col min="2" max="2" width="26" style="170" customWidth="1"/>
    <col min="3" max="3" width="14.88671875" style="195" customWidth="1"/>
    <col min="4" max="4" width="8.6640625" style="195" customWidth="1"/>
    <col min="5" max="5" width="12.33203125" style="168" customWidth="1"/>
    <col min="6" max="6" width="12" style="168" customWidth="1"/>
    <col min="7" max="7" width="11.109375" style="168" customWidth="1"/>
    <col min="8" max="8" width="13.88671875" style="195" customWidth="1"/>
    <col min="9" max="9" width="25" style="167" customWidth="1"/>
    <col min="10" max="10" width="12.6640625" style="167" customWidth="1"/>
    <col min="11" max="11" width="14" style="167" customWidth="1"/>
    <col min="12" max="16" width="12.6640625" style="167" customWidth="1"/>
    <col min="17" max="17" width="14.44140625" style="168" bestFit="1" customWidth="1"/>
    <col min="18" max="18" width="12.6640625" style="167" customWidth="1"/>
    <col min="19" max="19" width="10.5546875" style="168" customWidth="1"/>
    <col min="20" max="23" width="12.6640625" style="167" customWidth="1"/>
    <col min="24" max="24" width="14.33203125" style="167" customWidth="1"/>
    <col min="25" max="26" width="12.6640625" style="167" customWidth="1"/>
    <col min="27" max="27" width="15.33203125" style="167" customWidth="1"/>
    <col min="28" max="28" width="12.6640625" style="167" customWidth="1"/>
    <col min="29" max="29" width="12.6640625" style="169" customWidth="1"/>
    <col min="30" max="30" width="23" style="170" customWidth="1"/>
    <col min="31" max="31" width="8.88671875" style="163"/>
    <col min="32" max="32" width="9.5546875" style="163" bestFit="1" customWidth="1"/>
    <col min="33" max="33" width="11.6640625" style="163" bestFit="1" customWidth="1"/>
    <col min="34" max="16384" width="8.88671875" style="163"/>
  </cols>
  <sheetData>
    <row r="1" spans="1:34" ht="15" thickBot="1" x14ac:dyDescent="0.35">
      <c r="A1" s="154"/>
      <c r="B1" s="155"/>
      <c r="C1" s="156"/>
      <c r="D1" s="157"/>
      <c r="E1" s="158"/>
      <c r="F1" s="158"/>
      <c r="G1" s="158"/>
      <c r="H1" s="156"/>
      <c r="I1" s="159"/>
      <c r="J1" s="160"/>
      <c r="K1" s="160"/>
      <c r="L1" s="159"/>
      <c r="M1" s="159"/>
      <c r="N1" s="160"/>
      <c r="O1" s="159"/>
      <c r="P1" s="159"/>
      <c r="Q1" s="158"/>
      <c r="R1" s="159"/>
      <c r="S1" s="158"/>
      <c r="T1" s="159"/>
      <c r="U1" s="159"/>
      <c r="V1" s="159"/>
      <c r="W1" s="159"/>
      <c r="X1" s="159"/>
      <c r="Y1" s="159"/>
      <c r="Z1" s="159"/>
      <c r="AA1" s="159"/>
      <c r="AB1" s="159"/>
      <c r="AC1" s="161"/>
      <c r="AD1" s="162"/>
      <c r="AF1" s="164"/>
      <c r="AG1" s="165"/>
    </row>
    <row r="2" spans="1:34" ht="57.6" x14ac:dyDescent="0.3">
      <c r="A2" s="166"/>
      <c r="B2" s="386" t="s">
        <v>31</v>
      </c>
      <c r="C2" s="387"/>
      <c r="D2" s="387"/>
      <c r="E2" s="387"/>
      <c r="F2" s="387"/>
      <c r="G2" s="388"/>
      <c r="H2" s="166"/>
      <c r="I2" s="262" t="s">
        <v>160</v>
      </c>
    </row>
    <row r="3" spans="1:34" s="167" customFormat="1" ht="15.75" customHeight="1" thickBot="1" x14ac:dyDescent="0.35">
      <c r="A3" s="166"/>
      <c r="B3" s="389" t="s">
        <v>128</v>
      </c>
      <c r="C3" s="389"/>
      <c r="D3" s="389"/>
      <c r="E3" s="389"/>
      <c r="F3" s="389"/>
      <c r="G3" s="389"/>
      <c r="H3" s="166"/>
      <c r="I3" s="166"/>
      <c r="Q3" s="168"/>
      <c r="S3" s="168"/>
      <c r="AC3" s="169"/>
      <c r="AD3" s="170"/>
      <c r="AE3" s="163"/>
      <c r="AF3" s="163"/>
      <c r="AG3" s="163"/>
      <c r="AH3" s="163"/>
    </row>
    <row r="4" spans="1:34" s="167" customFormat="1" x14ac:dyDescent="0.3">
      <c r="A4" s="166"/>
      <c r="B4" s="171" t="s">
        <v>1</v>
      </c>
      <c r="C4" s="172"/>
      <c r="D4" s="172"/>
      <c r="E4" s="173" t="s">
        <v>2</v>
      </c>
      <c r="F4" s="174"/>
      <c r="G4" s="175"/>
      <c r="H4" s="166"/>
      <c r="I4" s="166"/>
      <c r="Q4" s="168"/>
      <c r="S4" s="168"/>
      <c r="AC4" s="169"/>
      <c r="AD4" s="170"/>
      <c r="AE4" s="163"/>
      <c r="AF4" s="163"/>
      <c r="AG4" s="163"/>
      <c r="AH4" s="163"/>
    </row>
    <row r="5" spans="1:34" s="167" customFormat="1" ht="19.2" customHeight="1" x14ac:dyDescent="0.3">
      <c r="A5" s="166"/>
      <c r="B5" s="176" t="s">
        <v>3</v>
      </c>
      <c r="C5" s="177" t="s">
        <v>4</v>
      </c>
      <c r="D5" s="178"/>
      <c r="E5" s="151">
        <f>E6*5280</f>
        <v>7920</v>
      </c>
      <c r="F5" s="177"/>
      <c r="G5" s="179"/>
      <c r="H5" s="166"/>
      <c r="I5" s="166"/>
      <c r="Q5" s="168"/>
      <c r="S5" s="168"/>
      <c r="AC5" s="169"/>
      <c r="AD5" s="170"/>
      <c r="AE5" s="163"/>
      <c r="AF5" s="163"/>
      <c r="AG5" s="163"/>
      <c r="AH5" s="163"/>
    </row>
    <row r="6" spans="1:34" s="167" customFormat="1" ht="15.6" x14ac:dyDescent="0.3">
      <c r="A6" s="166"/>
      <c r="B6" s="176" t="s">
        <v>3</v>
      </c>
      <c r="C6" s="177" t="s">
        <v>5</v>
      </c>
      <c r="D6" s="178"/>
      <c r="E6" s="258">
        <v>1.5</v>
      </c>
      <c r="F6" s="177"/>
      <c r="G6" s="179"/>
      <c r="H6" s="166"/>
      <c r="I6" s="166"/>
      <c r="Q6" s="168"/>
      <c r="S6" s="168"/>
      <c r="AC6" s="169"/>
      <c r="AD6" s="170"/>
      <c r="AE6" s="163"/>
      <c r="AF6" s="163"/>
      <c r="AG6" s="163"/>
      <c r="AH6" s="163"/>
    </row>
    <row r="7" spans="1:34" s="167" customFormat="1" ht="15.6" x14ac:dyDescent="0.3">
      <c r="A7" s="166"/>
      <c r="B7" s="180" t="s">
        <v>6</v>
      </c>
      <c r="C7" s="181" t="s">
        <v>7</v>
      </c>
      <c r="D7" s="178"/>
      <c r="E7" s="259">
        <v>12</v>
      </c>
      <c r="F7" s="182"/>
      <c r="G7" s="179"/>
      <c r="H7" s="166"/>
      <c r="I7" s="166"/>
      <c r="Q7" s="168"/>
      <c r="S7" s="168"/>
      <c r="AC7" s="169"/>
      <c r="AD7" s="170"/>
      <c r="AE7" s="163"/>
      <c r="AF7" s="163"/>
      <c r="AG7" s="163"/>
      <c r="AH7" s="163"/>
    </row>
    <row r="8" spans="1:34" s="167" customFormat="1" ht="18" customHeight="1" x14ac:dyDescent="0.3">
      <c r="A8" s="166"/>
      <c r="B8" s="183" t="s">
        <v>8</v>
      </c>
      <c r="C8" s="184" t="s">
        <v>4</v>
      </c>
      <c r="D8" s="178"/>
      <c r="E8" s="259">
        <v>40</v>
      </c>
      <c r="F8" s="182"/>
      <c r="G8" s="179"/>
      <c r="H8" s="166"/>
      <c r="I8" s="166"/>
      <c r="Q8" s="168"/>
      <c r="S8" s="168"/>
      <c r="AC8" s="169"/>
      <c r="AD8" s="170"/>
      <c r="AE8" s="163"/>
      <c r="AF8" s="163"/>
      <c r="AG8" s="163"/>
      <c r="AH8" s="163"/>
    </row>
    <row r="9" spans="1:34" s="167" customFormat="1" ht="15.6" x14ac:dyDescent="0.3">
      <c r="A9" s="166"/>
      <c r="B9" s="183"/>
      <c r="C9" s="184"/>
      <c r="D9" s="178"/>
      <c r="E9" s="151"/>
      <c r="F9" s="185"/>
      <c r="G9" s="179"/>
      <c r="H9" s="166"/>
      <c r="I9" s="166"/>
      <c r="Q9" s="168"/>
      <c r="S9" s="168"/>
      <c r="AC9" s="169"/>
      <c r="AD9" s="170"/>
      <c r="AE9" s="163"/>
      <c r="AF9" s="163"/>
      <c r="AG9" s="163"/>
      <c r="AH9" s="163"/>
    </row>
    <row r="10" spans="1:34" s="167" customFormat="1" x14ac:dyDescent="0.3">
      <c r="A10" s="166"/>
      <c r="B10" s="186" t="s">
        <v>9</v>
      </c>
      <c r="C10" s="187"/>
      <c r="D10" s="188"/>
      <c r="E10" s="187" t="s">
        <v>2</v>
      </c>
      <c r="F10" s="189" t="s">
        <v>10</v>
      </c>
      <c r="G10" s="190"/>
      <c r="H10" s="166"/>
      <c r="I10" s="166"/>
      <c r="Q10" s="168"/>
      <c r="S10" s="168"/>
      <c r="AC10" s="169"/>
      <c r="AD10" s="170"/>
      <c r="AE10" s="163"/>
      <c r="AF10" s="163"/>
      <c r="AG10" s="163"/>
      <c r="AH10" s="163"/>
    </row>
    <row r="11" spans="1:34" s="167" customFormat="1" ht="15.6" x14ac:dyDescent="0.3">
      <c r="A11" s="166"/>
      <c r="B11" s="183" t="s">
        <v>11</v>
      </c>
      <c r="C11" s="184" t="s">
        <v>7</v>
      </c>
      <c r="D11" s="178"/>
      <c r="E11" s="151">
        <f>(E5*2/300)+E7</f>
        <v>64.8</v>
      </c>
      <c r="F11" s="185">
        <v>500</v>
      </c>
      <c r="G11" s="179">
        <f>E11*F11</f>
        <v>32400</v>
      </c>
      <c r="H11" s="166"/>
      <c r="I11" s="166"/>
      <c r="Q11" s="168"/>
      <c r="S11" s="168"/>
      <c r="AC11" s="169"/>
      <c r="AD11" s="170"/>
      <c r="AE11" s="163"/>
      <c r="AF11" s="163"/>
      <c r="AG11" s="163"/>
      <c r="AH11" s="163"/>
    </row>
    <row r="12" spans="1:34" s="167" customFormat="1" ht="28.8" x14ac:dyDescent="0.3">
      <c r="A12" s="166"/>
      <c r="B12" s="191" t="s">
        <v>12</v>
      </c>
      <c r="C12" s="184" t="s">
        <v>4</v>
      </c>
      <c r="D12" s="178"/>
      <c r="E12" s="259">
        <v>0</v>
      </c>
      <c r="F12" s="185">
        <v>20</v>
      </c>
      <c r="G12" s="179">
        <f>E12*F12</f>
        <v>0</v>
      </c>
      <c r="H12" s="166"/>
      <c r="I12" s="166"/>
      <c r="Q12" s="168"/>
      <c r="S12" s="168"/>
      <c r="AC12" s="169"/>
      <c r="AD12" s="170"/>
      <c r="AE12" s="163"/>
      <c r="AF12" s="163"/>
      <c r="AG12" s="163"/>
      <c r="AH12" s="163"/>
    </row>
    <row r="13" spans="1:34" s="167" customFormat="1" ht="28.8" x14ac:dyDescent="0.3">
      <c r="A13" s="166"/>
      <c r="B13" s="191" t="s">
        <v>13</v>
      </c>
      <c r="C13" s="184" t="s">
        <v>4</v>
      </c>
      <c r="D13" s="151"/>
      <c r="E13" s="259">
        <v>0</v>
      </c>
      <c r="F13" s="185">
        <v>20</v>
      </c>
      <c r="G13" s="179">
        <f>D13*F13</f>
        <v>0</v>
      </c>
      <c r="H13" s="166"/>
      <c r="I13" s="166"/>
      <c r="Q13" s="168"/>
      <c r="S13" s="168"/>
      <c r="AC13" s="169"/>
      <c r="AD13" s="170"/>
      <c r="AE13" s="163"/>
      <c r="AF13" s="163"/>
      <c r="AG13" s="163"/>
      <c r="AH13" s="163"/>
    </row>
    <row r="14" spans="1:34" s="167" customFormat="1" ht="15.6" x14ac:dyDescent="0.3">
      <c r="A14" s="166"/>
      <c r="B14" s="191"/>
      <c r="C14" s="184"/>
      <c r="D14" s="151"/>
      <c r="E14" s="152"/>
      <c r="F14" s="185"/>
      <c r="G14" s="179"/>
      <c r="H14" s="166"/>
      <c r="I14" s="166"/>
      <c r="Q14" s="168"/>
      <c r="S14" s="168"/>
      <c r="AC14" s="169"/>
      <c r="AD14" s="170"/>
      <c r="AE14" s="163"/>
      <c r="AF14" s="163"/>
      <c r="AG14" s="163"/>
      <c r="AH14" s="163"/>
    </row>
    <row r="15" spans="1:34" ht="28.8" x14ac:dyDescent="0.3">
      <c r="B15" s="186" t="s">
        <v>14</v>
      </c>
      <c r="C15" s="187" t="s">
        <v>15</v>
      </c>
      <c r="D15" s="193" t="s">
        <v>16</v>
      </c>
      <c r="E15" s="194" t="s">
        <v>2</v>
      </c>
      <c r="F15" s="189" t="s">
        <v>10</v>
      </c>
      <c r="G15" s="190"/>
      <c r="I15" s="196"/>
    </row>
    <row r="16" spans="1:34" ht="15.6" x14ac:dyDescent="0.3">
      <c r="B16" s="197" t="s">
        <v>120</v>
      </c>
      <c r="C16" s="152" t="s">
        <v>17</v>
      </c>
      <c r="D16" s="151">
        <v>3</v>
      </c>
      <c r="E16" s="152">
        <f>E6*4+E7</f>
        <v>18</v>
      </c>
      <c r="F16" s="185">
        <v>50</v>
      </c>
      <c r="G16" s="198">
        <f>D16*E16*F16</f>
        <v>2700</v>
      </c>
      <c r="I16" s="196"/>
    </row>
    <row r="17" spans="1:34" x14ac:dyDescent="0.3">
      <c r="B17" s="197" t="s">
        <v>121</v>
      </c>
      <c r="C17" s="152" t="s">
        <v>18</v>
      </c>
      <c r="D17" s="153">
        <v>1.3</v>
      </c>
      <c r="E17" s="260">
        <v>0</v>
      </c>
      <c r="F17" s="185">
        <v>50</v>
      </c>
      <c r="G17" s="198">
        <f>D17*E17*F17</f>
        <v>0</v>
      </c>
      <c r="I17" s="196"/>
    </row>
    <row r="18" spans="1:34" x14ac:dyDescent="0.3">
      <c r="B18" s="197" t="s">
        <v>122</v>
      </c>
      <c r="C18" s="152" t="s">
        <v>18</v>
      </c>
      <c r="D18" s="153">
        <v>1.3</v>
      </c>
      <c r="E18" s="260">
        <v>0</v>
      </c>
      <c r="F18" s="185">
        <v>50</v>
      </c>
      <c r="G18" s="198">
        <f t="shared" ref="G18:G20" si="0">D18*E18*F18</f>
        <v>0</v>
      </c>
      <c r="I18" s="196"/>
    </row>
    <row r="19" spans="1:34" ht="14.4" customHeight="1" x14ac:dyDescent="0.3">
      <c r="B19" s="197" t="s">
        <v>123</v>
      </c>
      <c r="C19" s="152" t="s">
        <v>19</v>
      </c>
      <c r="D19" s="153">
        <v>7.5</v>
      </c>
      <c r="E19" s="261">
        <v>0</v>
      </c>
      <c r="F19" s="185">
        <v>50</v>
      </c>
      <c r="G19" s="198">
        <f t="shared" si="0"/>
        <v>0</v>
      </c>
      <c r="I19" s="196"/>
    </row>
    <row r="20" spans="1:34" ht="28.8" x14ac:dyDescent="0.3">
      <c r="B20" s="197" t="s">
        <v>124</v>
      </c>
      <c r="C20" s="152" t="s">
        <v>20</v>
      </c>
      <c r="D20" s="153">
        <v>6.25</v>
      </c>
      <c r="E20" s="153">
        <f>E7</f>
        <v>12</v>
      </c>
      <c r="F20" s="185">
        <v>50</v>
      </c>
      <c r="G20" s="198">
        <f t="shared" si="0"/>
        <v>3750</v>
      </c>
      <c r="I20" s="196"/>
    </row>
    <row r="21" spans="1:34" ht="15" customHeight="1" x14ac:dyDescent="0.3">
      <c r="B21" s="201" t="s">
        <v>21</v>
      </c>
      <c r="C21" s="202"/>
      <c r="D21" s="203"/>
      <c r="E21" s="204"/>
      <c r="F21" s="205"/>
      <c r="G21" s="206">
        <f>SUM(G11:G20)</f>
        <v>38850</v>
      </c>
      <c r="I21" s="196"/>
    </row>
    <row r="22" spans="1:34" ht="15" customHeight="1" x14ac:dyDescent="0.3">
      <c r="B22" s="207"/>
      <c r="C22" s="208"/>
      <c r="D22" s="209"/>
      <c r="E22" s="210"/>
      <c r="F22" s="211"/>
      <c r="G22" s="212"/>
      <c r="I22" s="196"/>
    </row>
    <row r="23" spans="1:34" ht="15" customHeight="1" x14ac:dyDescent="0.3">
      <c r="B23" s="213" t="s">
        <v>22</v>
      </c>
      <c r="C23" s="390" t="s">
        <v>23</v>
      </c>
      <c r="D23" s="390"/>
      <c r="E23" s="390"/>
      <c r="F23" s="214">
        <v>0.1</v>
      </c>
      <c r="G23" s="215">
        <f>G21*F23</f>
        <v>3885</v>
      </c>
      <c r="I23" s="196"/>
    </row>
    <row r="24" spans="1:34" ht="15" customHeight="1" x14ac:dyDescent="0.3">
      <c r="B24" s="207" t="s">
        <v>24</v>
      </c>
      <c r="C24" s="208"/>
      <c r="D24" s="216"/>
      <c r="E24" s="217"/>
      <c r="F24" s="218"/>
      <c r="G24" s="212">
        <f>SUM(G21:G23)</f>
        <v>42735</v>
      </c>
      <c r="I24" s="196"/>
    </row>
    <row r="25" spans="1:34" ht="15" customHeight="1" x14ac:dyDescent="0.3">
      <c r="B25" s="219" t="s">
        <v>25</v>
      </c>
      <c r="C25" s="391" t="s">
        <v>23</v>
      </c>
      <c r="D25" s="391"/>
      <c r="E25" s="391"/>
      <c r="F25" s="220">
        <v>0.1</v>
      </c>
      <c r="G25" s="221">
        <f>G24*F25</f>
        <v>4273.5</v>
      </c>
      <c r="I25" s="196"/>
    </row>
    <row r="26" spans="1:34" s="195" customFormat="1" ht="15" customHeight="1" thickBot="1" x14ac:dyDescent="0.35">
      <c r="A26" s="192"/>
      <c r="B26" s="222" t="s">
        <v>21</v>
      </c>
      <c r="C26" s="223"/>
      <c r="D26" s="224"/>
      <c r="E26" s="225"/>
      <c r="F26" s="226"/>
      <c r="G26" s="227">
        <f>SUM(G24:G25)</f>
        <v>47008.5</v>
      </c>
      <c r="I26" s="196"/>
      <c r="J26" s="167"/>
      <c r="K26" s="167"/>
      <c r="L26" s="167"/>
      <c r="M26" s="167"/>
      <c r="N26" s="167"/>
      <c r="O26" s="167"/>
      <c r="P26" s="167"/>
      <c r="Q26" s="168"/>
      <c r="R26" s="167"/>
      <c r="S26" s="168"/>
      <c r="T26" s="167"/>
      <c r="U26" s="167"/>
      <c r="V26" s="167"/>
      <c r="W26" s="167"/>
      <c r="X26" s="167"/>
      <c r="Y26" s="167"/>
      <c r="Z26" s="167"/>
      <c r="AA26" s="167"/>
      <c r="AB26" s="167"/>
      <c r="AC26" s="169"/>
      <c r="AD26" s="170"/>
      <c r="AE26" s="163"/>
      <c r="AF26" s="163"/>
      <c r="AG26" s="163"/>
      <c r="AH26" s="163"/>
    </row>
    <row r="27" spans="1:34" s="195" customFormat="1" ht="15" customHeight="1" thickTop="1" x14ac:dyDescent="0.3">
      <c r="A27" s="192"/>
      <c r="B27" s="213" t="s">
        <v>26</v>
      </c>
      <c r="C27" s="392" t="s">
        <v>27</v>
      </c>
      <c r="D27" s="392"/>
      <c r="E27" s="392"/>
      <c r="F27" s="214">
        <v>0.25</v>
      </c>
      <c r="G27" s="228">
        <f>G26*F27</f>
        <v>11752.125</v>
      </c>
      <c r="I27" s="196"/>
      <c r="J27" s="167"/>
      <c r="K27" s="167"/>
      <c r="L27" s="167"/>
      <c r="M27" s="167"/>
      <c r="N27" s="167"/>
      <c r="O27" s="167"/>
      <c r="P27" s="167"/>
      <c r="Q27" s="168"/>
      <c r="R27" s="167"/>
      <c r="S27" s="168"/>
      <c r="T27" s="167"/>
      <c r="U27" s="167"/>
      <c r="V27" s="167"/>
      <c r="W27" s="167"/>
      <c r="X27" s="167"/>
      <c r="Y27" s="167"/>
      <c r="Z27" s="167"/>
      <c r="AA27" s="167"/>
      <c r="AB27" s="167"/>
      <c r="AC27" s="169"/>
      <c r="AD27" s="170"/>
      <c r="AE27" s="163"/>
      <c r="AF27" s="163"/>
      <c r="AG27" s="163"/>
      <c r="AH27" s="163"/>
    </row>
    <row r="28" spans="1:34" s="195" customFormat="1" ht="15" customHeight="1" thickBot="1" x14ac:dyDescent="0.35">
      <c r="A28" s="192"/>
      <c r="B28" s="229" t="s">
        <v>28</v>
      </c>
      <c r="C28" s="385" t="s">
        <v>29</v>
      </c>
      <c r="D28" s="385"/>
      <c r="E28" s="385"/>
      <c r="F28" s="230">
        <v>0.05</v>
      </c>
      <c r="G28" s="231">
        <f>G27*F28</f>
        <v>587.60625000000005</v>
      </c>
      <c r="I28" s="196"/>
      <c r="J28" s="167"/>
      <c r="K28" s="167"/>
      <c r="L28" s="167"/>
      <c r="M28" s="167"/>
      <c r="N28" s="167"/>
      <c r="O28" s="167"/>
      <c r="P28" s="167"/>
      <c r="Q28" s="168"/>
      <c r="R28" s="167"/>
      <c r="S28" s="168"/>
      <c r="T28" s="167"/>
      <c r="U28" s="167"/>
      <c r="V28" s="167"/>
      <c r="W28" s="167"/>
      <c r="X28" s="167"/>
      <c r="Y28" s="167"/>
      <c r="Z28" s="167"/>
      <c r="AA28" s="167"/>
      <c r="AB28" s="167"/>
      <c r="AC28" s="169"/>
      <c r="AD28" s="170"/>
      <c r="AE28" s="163"/>
      <c r="AF28" s="163"/>
      <c r="AG28" s="163"/>
      <c r="AH28" s="163"/>
    </row>
    <row r="29" spans="1:34" s="195" customFormat="1" ht="15" customHeight="1" thickTop="1" x14ac:dyDescent="0.3">
      <c r="A29" s="192"/>
      <c r="B29" s="232"/>
      <c r="C29" s="233"/>
      <c r="D29" s="234"/>
      <c r="E29" s="235"/>
      <c r="F29" s="182"/>
      <c r="G29" s="236"/>
      <c r="I29" s="196"/>
      <c r="J29" s="167"/>
      <c r="K29" s="167"/>
      <c r="L29" s="167"/>
      <c r="M29" s="167"/>
      <c r="N29" s="167"/>
      <c r="O29" s="167"/>
      <c r="P29" s="167"/>
      <c r="Q29" s="168"/>
      <c r="R29" s="167"/>
      <c r="S29" s="168"/>
      <c r="T29" s="167"/>
      <c r="U29" s="167"/>
      <c r="V29" s="167"/>
      <c r="W29" s="167"/>
      <c r="X29" s="167"/>
      <c r="Y29" s="167"/>
      <c r="Z29" s="167"/>
      <c r="AA29" s="167"/>
      <c r="AB29" s="167"/>
      <c r="AC29" s="169"/>
      <c r="AD29" s="170"/>
      <c r="AE29" s="163"/>
      <c r="AF29" s="163"/>
      <c r="AG29" s="163"/>
      <c r="AH29" s="163"/>
    </row>
    <row r="30" spans="1:34" s="195" customFormat="1" ht="15" customHeight="1" thickBot="1" x14ac:dyDescent="0.35">
      <c r="A30" s="192"/>
      <c r="B30" s="237" t="s">
        <v>30</v>
      </c>
      <c r="C30" s="238"/>
      <c r="D30" s="239"/>
      <c r="E30" s="240"/>
      <c r="F30" s="241"/>
      <c r="G30" s="242">
        <f>SUM(G26,G27,G28)</f>
        <v>59348.231249999997</v>
      </c>
      <c r="I30" s="196"/>
      <c r="J30" s="167"/>
      <c r="K30" s="167"/>
      <c r="L30" s="167"/>
      <c r="M30" s="167"/>
      <c r="N30" s="167"/>
      <c r="O30" s="167"/>
      <c r="P30" s="167"/>
      <c r="Q30" s="168"/>
      <c r="R30" s="167"/>
      <c r="S30" s="168"/>
      <c r="T30" s="167"/>
      <c r="U30" s="167"/>
      <c r="V30" s="167"/>
      <c r="W30" s="167"/>
      <c r="X30" s="167"/>
      <c r="Y30" s="167"/>
      <c r="Z30" s="167"/>
      <c r="AA30" s="167"/>
      <c r="AB30" s="167"/>
      <c r="AC30" s="169"/>
      <c r="AD30" s="170"/>
      <c r="AE30" s="163"/>
      <c r="AF30" s="163"/>
      <c r="AG30" s="163"/>
      <c r="AH30" s="163"/>
    </row>
    <row r="31" spans="1:34" x14ac:dyDescent="0.3">
      <c r="I31" s="196"/>
    </row>
    <row r="32" spans="1:34" x14ac:dyDescent="0.3">
      <c r="I32" s="196"/>
    </row>
    <row r="33" spans="9:9" x14ac:dyDescent="0.3">
      <c r="I33" s="196"/>
    </row>
    <row r="34" spans="9:9" x14ac:dyDescent="0.3">
      <c r="I34" s="196"/>
    </row>
    <row r="35" spans="9:9" x14ac:dyDescent="0.3">
      <c r="I35" s="196"/>
    </row>
    <row r="36" spans="9:9" x14ac:dyDescent="0.3">
      <c r="I36" s="196"/>
    </row>
    <row r="37" spans="9:9" x14ac:dyDescent="0.3">
      <c r="I37" s="196"/>
    </row>
    <row r="38" spans="9:9" x14ac:dyDescent="0.3">
      <c r="I38" s="196"/>
    </row>
  </sheetData>
  <sheetProtection sheet="1" objects="1" scenarios="1"/>
  <mergeCells count="6">
    <mergeCell ref="C28:E28"/>
    <mergeCell ref="B2:G2"/>
    <mergeCell ref="B3:G3"/>
    <mergeCell ref="C23:E23"/>
    <mergeCell ref="C25:E25"/>
    <mergeCell ref="C27:E27"/>
  </mergeCells>
  <dataValidations count="5">
    <dataValidation allowBlank="1" showInputMessage="1" showErrorMessage="1" prompt="Shared lanes are roadways where bicycle traffic and motor vehicle traffic share the same travel lane. Shared lanes have no physical features which create a more inviting cycling experience and are not suitable for most people bicycling." sqref="B2:G2" xr:uid="{4AC7A6BA-D46F-4282-BBD3-15E3CEB606E9}"/>
    <dataValidation allowBlank="1" showInputMessage="1" showErrorMessage="1" prompt="To further improve LTS on shared lanes, see the BIKE BLVD tab for traffic calming features.  Shared lanes with an acceptable LTS must have very low traffic volumes (&lt;1000 ADT) and low motor vehicle operating speeds (&lt;25 mph)." sqref="B3:G3" xr:uid="{BEDF62B9-1DAC-4609-87C6-CEDB16803826}"/>
    <dataValidation allowBlank="1" showInputMessage="1" showErrorMessage="1" promptTitle="Bike Lane Ahead" prompt="Enter additional quanities for this type of sign, if desired or required." sqref="E17" xr:uid="{F4465232-EC2F-4FF2-8273-70297BCA59AF}"/>
    <dataValidation allowBlank="1" showInputMessage="1" showErrorMessage="1" promptTitle="Bike Lane Ends" prompt="Enter additional quanities for this type of sign, if desired or required." sqref="E18" xr:uid="{CBC73159-AC2B-462D-A343-263838CB18C9}"/>
    <dataValidation allowBlank="1" showInputMessage="1" showErrorMessage="1" promptTitle="Bikes May Use Full Lane" prompt="Enter additional quanities for this type of sign, if desired or required." sqref="E19" xr:uid="{DBB03566-D267-4FBF-989C-7C9CFFAC8D37}"/>
  </dataValidations>
  <pageMargins left="0.25" right="0.25" top="0.75" bottom="0.75" header="0.3" footer="0.3"/>
  <pageSetup paperSize="3" scale="78" fitToHeight="0" orientation="landscape" r:id="rId1"/>
  <ignoredErrors>
    <ignoredError sqref="G2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A4BD-C6D7-479E-A486-0D1D119891B3}">
  <sheetPr>
    <pageSetUpPr fitToPage="1"/>
  </sheetPr>
  <dimension ref="A1:AH32"/>
  <sheetViews>
    <sheetView topLeftCell="B1" zoomScaleNormal="100" workbookViewId="0">
      <selection activeCell="J23" sqref="J23"/>
    </sheetView>
  </sheetViews>
  <sheetFormatPr defaultRowHeight="14.4" x14ac:dyDescent="0.3"/>
  <cols>
    <col min="1" max="1" width="8.6640625" style="2" customWidth="1"/>
    <col min="2" max="2" width="24.6640625" style="1" customWidth="1"/>
    <col min="3" max="3" width="13.5546875" style="4" customWidth="1"/>
    <col min="4" max="4" width="8.6640625" style="4" customWidth="1"/>
    <col min="5" max="5" width="12.33203125" style="3" customWidth="1"/>
    <col min="6" max="6" width="12" style="3" customWidth="1"/>
    <col min="7" max="7" width="11.109375" style="3" customWidth="1"/>
    <col min="8" max="8" width="13.88671875" style="4" customWidth="1"/>
    <col min="9" max="9" width="25.44140625" style="107" customWidth="1"/>
    <col min="10" max="10" width="12.6640625" style="107" customWidth="1"/>
    <col min="11" max="11" width="14" style="107" customWidth="1"/>
    <col min="12" max="16" width="12.6640625" style="107" customWidth="1"/>
    <col min="17" max="17" width="14.44140625" style="3" bestFit="1" customWidth="1"/>
    <col min="18" max="18" width="12.6640625" style="107" customWidth="1"/>
    <col min="19" max="19" width="10.5546875" style="3" customWidth="1"/>
    <col min="20" max="23" width="12.6640625" style="107" customWidth="1"/>
    <col min="24" max="24" width="14.33203125" style="107" customWidth="1"/>
    <col min="25" max="26" width="12.6640625" style="107" customWidth="1"/>
    <col min="27" max="27" width="15.33203125" style="107" customWidth="1"/>
    <col min="28" max="28" width="12.6640625" style="107" customWidth="1"/>
    <col min="29" max="29" width="12.6640625" style="6" customWidth="1"/>
    <col min="30" max="30" width="23" style="1" customWidth="1"/>
    <col min="32" max="32" width="9.5546875" bestFit="1" customWidth="1"/>
    <col min="33" max="33" width="11.6640625" bestFit="1" customWidth="1"/>
  </cols>
  <sheetData>
    <row r="1" spans="1:34" ht="15" thickBot="1" x14ac:dyDescent="0.35">
      <c r="A1" s="154"/>
      <c r="B1" s="155"/>
      <c r="C1" s="156"/>
      <c r="D1" s="157"/>
      <c r="E1" s="158"/>
      <c r="F1" s="158"/>
      <c r="G1" s="158"/>
      <c r="H1" s="10"/>
      <c r="I1" s="11"/>
      <c r="J1" s="22"/>
      <c r="K1" s="22"/>
      <c r="L1" s="11"/>
      <c r="M1" s="11"/>
      <c r="N1" s="22"/>
      <c r="O1" s="11"/>
      <c r="P1" s="11"/>
      <c r="Q1" s="9"/>
      <c r="R1" s="11"/>
      <c r="S1" s="9"/>
      <c r="T1" s="11"/>
      <c r="U1" s="11"/>
      <c r="V1" s="11"/>
      <c r="W1" s="11"/>
      <c r="X1" s="11"/>
      <c r="Y1" s="11"/>
      <c r="Z1" s="11"/>
      <c r="AA1" s="11"/>
      <c r="AB1" s="11"/>
      <c r="AC1" s="21"/>
      <c r="AD1" s="19"/>
      <c r="AF1" s="13"/>
      <c r="AG1" s="12"/>
    </row>
    <row r="2" spans="1:34" ht="57.6" x14ac:dyDescent="0.3">
      <c r="A2" s="166"/>
      <c r="B2" s="386" t="s">
        <v>32</v>
      </c>
      <c r="C2" s="387"/>
      <c r="D2" s="387"/>
      <c r="E2" s="387"/>
      <c r="F2" s="387"/>
      <c r="G2" s="388"/>
      <c r="H2" s="14"/>
      <c r="I2" s="262" t="s">
        <v>160</v>
      </c>
    </row>
    <row r="3" spans="1:34" s="107" customFormat="1" ht="15.75" customHeight="1" thickBot="1" x14ac:dyDescent="0.35">
      <c r="A3" s="166"/>
      <c r="B3" s="389" t="s">
        <v>128</v>
      </c>
      <c r="C3" s="389"/>
      <c r="D3" s="389"/>
      <c r="E3" s="389"/>
      <c r="F3" s="389"/>
      <c r="G3" s="389"/>
      <c r="H3" s="14"/>
      <c r="I3" s="14"/>
      <c r="Q3" s="3"/>
      <c r="S3" s="3"/>
      <c r="AC3" s="6"/>
      <c r="AD3" s="1"/>
      <c r="AE3"/>
      <c r="AF3"/>
      <c r="AG3"/>
      <c r="AH3"/>
    </row>
    <row r="4" spans="1:34" s="107" customFormat="1" x14ac:dyDescent="0.3">
      <c r="A4" s="166"/>
      <c r="B4" s="171" t="s">
        <v>1</v>
      </c>
      <c r="C4" s="172"/>
      <c r="D4" s="172"/>
      <c r="E4" s="173" t="s">
        <v>2</v>
      </c>
      <c r="F4" s="174"/>
      <c r="G4" s="175"/>
      <c r="H4" s="14"/>
      <c r="I4" s="14"/>
      <c r="Q4" s="3"/>
      <c r="S4" s="3"/>
      <c r="AC4" s="6"/>
      <c r="AD4" s="1"/>
      <c r="AE4"/>
      <c r="AF4"/>
      <c r="AG4"/>
      <c r="AH4"/>
    </row>
    <row r="5" spans="1:34" s="107" customFormat="1" ht="19.95" customHeight="1" x14ac:dyDescent="0.3">
      <c r="A5" s="166"/>
      <c r="B5" s="176" t="s">
        <v>3</v>
      </c>
      <c r="C5" s="177" t="s">
        <v>4</v>
      </c>
      <c r="D5" s="178"/>
      <c r="E5" s="151">
        <f>E6*5280</f>
        <v>7920</v>
      </c>
      <c r="F5" s="177"/>
      <c r="G5" s="179"/>
      <c r="H5" s="14"/>
      <c r="I5" s="14"/>
      <c r="Q5" s="3"/>
      <c r="S5" s="3"/>
      <c r="AC5" s="6"/>
      <c r="AD5" s="1"/>
      <c r="AE5"/>
      <c r="AF5"/>
      <c r="AG5"/>
      <c r="AH5"/>
    </row>
    <row r="6" spans="1:34" s="107" customFormat="1" ht="15.6" x14ac:dyDescent="0.3">
      <c r="A6" s="166"/>
      <c r="B6" s="176" t="s">
        <v>3</v>
      </c>
      <c r="C6" s="177" t="s">
        <v>5</v>
      </c>
      <c r="D6" s="178"/>
      <c r="E6" s="258">
        <v>1.5</v>
      </c>
      <c r="F6" s="177"/>
      <c r="G6" s="179"/>
      <c r="H6" s="14"/>
      <c r="I6" s="14"/>
      <c r="Q6" s="3"/>
      <c r="S6" s="3"/>
      <c r="AC6" s="6"/>
      <c r="AD6" s="1"/>
      <c r="AE6"/>
      <c r="AF6"/>
      <c r="AG6"/>
      <c r="AH6"/>
    </row>
    <row r="7" spans="1:34" s="107" customFormat="1" ht="15.6" x14ac:dyDescent="0.3">
      <c r="A7" s="166"/>
      <c r="B7" s="180" t="s">
        <v>6</v>
      </c>
      <c r="C7" s="181" t="s">
        <v>7</v>
      </c>
      <c r="D7" s="178"/>
      <c r="E7" s="259">
        <v>12</v>
      </c>
      <c r="F7" s="182"/>
      <c r="G7" s="179"/>
      <c r="H7" s="14"/>
      <c r="I7" s="14"/>
      <c r="Q7" s="3"/>
      <c r="S7" s="3"/>
      <c r="AC7" s="6"/>
      <c r="AD7" s="1"/>
      <c r="AE7"/>
      <c r="AF7"/>
      <c r="AG7"/>
      <c r="AH7"/>
    </row>
    <row r="8" spans="1:34" s="107" customFormat="1" ht="16.95" customHeight="1" x14ac:dyDescent="0.3">
      <c r="A8" s="166"/>
      <c r="B8" s="183" t="s">
        <v>8</v>
      </c>
      <c r="C8" s="184" t="s">
        <v>4</v>
      </c>
      <c r="D8" s="178"/>
      <c r="E8" s="259">
        <v>40</v>
      </c>
      <c r="F8" s="182"/>
      <c r="G8" s="179"/>
      <c r="H8" s="14"/>
      <c r="I8" s="14"/>
      <c r="Q8" s="3"/>
      <c r="S8" s="3"/>
      <c r="AC8" s="6"/>
      <c r="AD8" s="1"/>
      <c r="AE8"/>
      <c r="AF8"/>
      <c r="AG8"/>
      <c r="AH8"/>
    </row>
    <row r="9" spans="1:34" s="107" customFormat="1" ht="15.6" x14ac:dyDescent="0.3">
      <c r="A9" s="166"/>
      <c r="B9" s="183"/>
      <c r="C9" s="184"/>
      <c r="D9" s="178"/>
      <c r="E9" s="151"/>
      <c r="F9" s="185"/>
      <c r="G9" s="179"/>
      <c r="H9" s="14"/>
      <c r="I9" s="14"/>
      <c r="Q9" s="3"/>
      <c r="S9" s="3"/>
      <c r="AC9" s="6"/>
      <c r="AD9" s="1"/>
      <c r="AE9"/>
      <c r="AF9"/>
      <c r="AG9"/>
      <c r="AH9"/>
    </row>
    <row r="10" spans="1:34" s="107" customFormat="1" x14ac:dyDescent="0.3">
      <c r="A10" s="166"/>
      <c r="B10" s="186" t="s">
        <v>9</v>
      </c>
      <c r="C10" s="187"/>
      <c r="D10" s="188"/>
      <c r="E10" s="187" t="s">
        <v>2</v>
      </c>
      <c r="F10" s="189" t="s">
        <v>10</v>
      </c>
      <c r="G10" s="190"/>
      <c r="H10" s="14"/>
      <c r="I10" s="14"/>
      <c r="Q10" s="3"/>
      <c r="S10" s="3"/>
      <c r="AC10" s="6"/>
      <c r="AD10" s="1"/>
      <c r="AE10"/>
      <c r="AF10"/>
      <c r="AG10"/>
      <c r="AH10"/>
    </row>
    <row r="11" spans="1:34" s="107" customFormat="1" ht="15.6" x14ac:dyDescent="0.3">
      <c r="A11" s="166"/>
      <c r="B11" s="183" t="s">
        <v>33</v>
      </c>
      <c r="C11" s="184" t="s">
        <v>7</v>
      </c>
      <c r="D11" s="178"/>
      <c r="E11" s="151">
        <f>E5/300+E7</f>
        <v>38.4</v>
      </c>
      <c r="F11" s="185">
        <v>500</v>
      </c>
      <c r="G11" s="179">
        <f>E11*F11</f>
        <v>19200</v>
      </c>
      <c r="H11" s="14"/>
      <c r="I11" s="14"/>
      <c r="Q11" s="3"/>
      <c r="S11" s="3"/>
      <c r="AC11" s="6"/>
      <c r="AD11" s="1"/>
      <c r="AE11"/>
      <c r="AF11"/>
      <c r="AG11"/>
      <c r="AH11"/>
    </row>
    <row r="12" spans="1:34" s="107" customFormat="1" ht="28.8" x14ac:dyDescent="0.3">
      <c r="A12" s="166"/>
      <c r="B12" s="191" t="s">
        <v>12</v>
      </c>
      <c r="C12" s="184" t="s">
        <v>4</v>
      </c>
      <c r="D12" s="178"/>
      <c r="E12" s="151">
        <f>E5-(E7*E8)</f>
        <v>7440</v>
      </c>
      <c r="F12" s="185">
        <v>20</v>
      </c>
      <c r="G12" s="179">
        <f>E12*F12</f>
        <v>148800</v>
      </c>
      <c r="H12" s="14"/>
      <c r="I12" s="14"/>
      <c r="Q12" s="3"/>
      <c r="S12" s="3"/>
      <c r="AC12" s="6"/>
      <c r="AD12" s="1"/>
      <c r="AE12"/>
      <c r="AF12"/>
      <c r="AG12"/>
      <c r="AH12"/>
    </row>
    <row r="13" spans="1:34" s="107" customFormat="1" ht="28.8" x14ac:dyDescent="0.3">
      <c r="A13" s="166"/>
      <c r="B13" s="191" t="s">
        <v>13</v>
      </c>
      <c r="C13" s="184" t="s">
        <v>4</v>
      </c>
      <c r="D13" s="151"/>
      <c r="E13" s="260">
        <v>0</v>
      </c>
      <c r="F13" s="185">
        <v>20</v>
      </c>
      <c r="G13" s="179">
        <f>E13*F13</f>
        <v>0</v>
      </c>
      <c r="H13" s="14"/>
      <c r="I13" s="14"/>
      <c r="Q13" s="3"/>
      <c r="S13" s="3"/>
      <c r="AC13" s="6"/>
      <c r="AD13" s="1"/>
      <c r="AE13"/>
      <c r="AF13"/>
      <c r="AG13"/>
      <c r="AH13"/>
    </row>
    <row r="14" spans="1:34" s="107" customFormat="1" ht="15.6" x14ac:dyDescent="0.3">
      <c r="A14" s="166"/>
      <c r="B14" s="191" t="s">
        <v>34</v>
      </c>
      <c r="C14" s="184" t="s">
        <v>35</v>
      </c>
      <c r="D14" s="151"/>
      <c r="E14" s="279">
        <f>E7*E8*6</f>
        <v>2880</v>
      </c>
      <c r="F14" s="185">
        <v>20</v>
      </c>
      <c r="G14" s="179">
        <f>E14*F14</f>
        <v>57600</v>
      </c>
      <c r="H14" s="14"/>
      <c r="I14" s="14"/>
      <c r="Q14" s="3"/>
      <c r="S14" s="3"/>
      <c r="AC14" s="6"/>
      <c r="AD14" s="1"/>
      <c r="AE14"/>
      <c r="AF14"/>
      <c r="AG14"/>
      <c r="AH14"/>
    </row>
    <row r="15" spans="1:34" ht="28.8" x14ac:dyDescent="0.3">
      <c r="A15" s="192"/>
      <c r="B15" s="186" t="s">
        <v>14</v>
      </c>
      <c r="C15" s="187" t="s">
        <v>15</v>
      </c>
      <c r="D15" s="193" t="s">
        <v>16</v>
      </c>
      <c r="E15" s="194" t="s">
        <v>2</v>
      </c>
      <c r="F15" s="189" t="s">
        <v>10</v>
      </c>
      <c r="G15" s="190"/>
      <c r="I15" s="104"/>
    </row>
    <row r="16" spans="1:34" ht="15.6" x14ac:dyDescent="0.3">
      <c r="A16" s="192"/>
      <c r="B16" s="197" t="s">
        <v>120</v>
      </c>
      <c r="C16" s="152" t="s">
        <v>17</v>
      </c>
      <c r="D16" s="151">
        <v>3</v>
      </c>
      <c r="E16" s="152">
        <f>E6*2+E7+2</f>
        <v>17</v>
      </c>
      <c r="F16" s="185">
        <v>50</v>
      </c>
      <c r="G16" s="198">
        <f>D16*E16*F16</f>
        <v>2550</v>
      </c>
      <c r="I16" s="104"/>
    </row>
    <row r="17" spans="1:9" x14ac:dyDescent="0.3">
      <c r="A17" s="192"/>
      <c r="B17" s="197" t="s">
        <v>121</v>
      </c>
      <c r="C17" s="152" t="s">
        <v>18</v>
      </c>
      <c r="D17" s="153">
        <v>1.3</v>
      </c>
      <c r="E17" s="264">
        <v>0</v>
      </c>
      <c r="F17" s="185">
        <v>50</v>
      </c>
      <c r="G17" s="198">
        <f>D17*E17*F17</f>
        <v>0</v>
      </c>
      <c r="I17" s="104"/>
    </row>
    <row r="18" spans="1:9" x14ac:dyDescent="0.3">
      <c r="A18" s="192"/>
      <c r="B18" s="197" t="s">
        <v>122</v>
      </c>
      <c r="C18" s="152" t="s">
        <v>18</v>
      </c>
      <c r="D18" s="153">
        <v>1.3</v>
      </c>
      <c r="E18" s="264">
        <v>0</v>
      </c>
      <c r="F18" s="185">
        <v>50</v>
      </c>
      <c r="G18" s="198">
        <f t="shared" ref="G18:G20" si="0">D18*E18*F18</f>
        <v>0</v>
      </c>
      <c r="I18" s="104"/>
    </row>
    <row r="19" spans="1:9" ht="28.8" x14ac:dyDescent="0.3">
      <c r="A19" s="192"/>
      <c r="B19" s="197" t="s">
        <v>123</v>
      </c>
      <c r="C19" s="152" t="s">
        <v>19</v>
      </c>
      <c r="D19" s="153">
        <v>7.5</v>
      </c>
      <c r="E19" s="153">
        <f>E7</f>
        <v>12</v>
      </c>
      <c r="F19" s="185">
        <v>50</v>
      </c>
      <c r="G19" s="198">
        <f t="shared" si="0"/>
        <v>4500</v>
      </c>
      <c r="I19" s="104"/>
    </row>
    <row r="20" spans="1:9" ht="28.8" x14ac:dyDescent="0.3">
      <c r="A20" s="192"/>
      <c r="B20" s="197" t="s">
        <v>124</v>
      </c>
      <c r="C20" s="152" t="s">
        <v>20</v>
      </c>
      <c r="D20" s="153">
        <v>6.25</v>
      </c>
      <c r="E20" s="260">
        <v>0</v>
      </c>
      <c r="F20" s="185">
        <v>50</v>
      </c>
      <c r="G20" s="198">
        <f t="shared" si="0"/>
        <v>0</v>
      </c>
      <c r="I20" s="104"/>
    </row>
    <row r="21" spans="1:9" ht="15" customHeight="1" x14ac:dyDescent="0.3">
      <c r="A21" s="192"/>
      <c r="B21" s="201" t="s">
        <v>21</v>
      </c>
      <c r="C21" s="202"/>
      <c r="D21" s="203"/>
      <c r="E21" s="204"/>
      <c r="F21" s="205"/>
      <c r="G21" s="206">
        <f>SUM(G11:G20)</f>
        <v>232650</v>
      </c>
      <c r="I21" s="104"/>
    </row>
    <row r="22" spans="1:9" ht="15" customHeight="1" x14ac:dyDescent="0.3">
      <c r="A22" s="192"/>
      <c r="B22" s="207"/>
      <c r="C22" s="208"/>
      <c r="D22" s="209"/>
      <c r="E22" s="210"/>
      <c r="F22" s="211"/>
      <c r="G22" s="212"/>
      <c r="I22" s="104"/>
    </row>
    <row r="23" spans="1:9" ht="15" customHeight="1" x14ac:dyDescent="0.3">
      <c r="A23" s="192"/>
      <c r="B23" s="213" t="s">
        <v>22</v>
      </c>
      <c r="C23" s="390" t="s">
        <v>23</v>
      </c>
      <c r="D23" s="390"/>
      <c r="E23" s="390"/>
      <c r="F23" s="214">
        <v>0.1</v>
      </c>
      <c r="G23" s="215">
        <f>G21*F23</f>
        <v>23265</v>
      </c>
      <c r="I23" s="104"/>
    </row>
    <row r="24" spans="1:9" ht="15" customHeight="1" x14ac:dyDescent="0.3">
      <c r="A24" s="192"/>
      <c r="B24" s="207" t="s">
        <v>24</v>
      </c>
      <c r="C24" s="208"/>
      <c r="D24" s="216"/>
      <c r="E24" s="217"/>
      <c r="F24" s="218"/>
      <c r="G24" s="212">
        <f>SUM(G21:G23)</f>
        <v>255915</v>
      </c>
      <c r="I24" s="104"/>
    </row>
    <row r="25" spans="1:9" ht="15" customHeight="1" x14ac:dyDescent="0.3">
      <c r="A25" s="192"/>
      <c r="B25" s="219" t="s">
        <v>25</v>
      </c>
      <c r="C25" s="391" t="s">
        <v>23</v>
      </c>
      <c r="D25" s="391"/>
      <c r="E25" s="391"/>
      <c r="F25" s="220">
        <v>0.1</v>
      </c>
      <c r="G25" s="221">
        <f>G24*F25</f>
        <v>25591.5</v>
      </c>
      <c r="I25" s="104"/>
    </row>
    <row r="26" spans="1:9" ht="15" customHeight="1" thickBot="1" x14ac:dyDescent="0.35">
      <c r="A26" s="192"/>
      <c r="B26" s="222" t="s">
        <v>21</v>
      </c>
      <c r="C26" s="223"/>
      <c r="D26" s="224"/>
      <c r="E26" s="225"/>
      <c r="F26" s="226"/>
      <c r="G26" s="227">
        <f>SUM(G24:G25)</f>
        <v>281506.5</v>
      </c>
      <c r="I26" s="104"/>
    </row>
    <row r="27" spans="1:9" ht="15" customHeight="1" thickTop="1" x14ac:dyDescent="0.3">
      <c r="A27" s="192"/>
      <c r="B27" s="213" t="s">
        <v>26</v>
      </c>
      <c r="C27" s="392" t="s">
        <v>27</v>
      </c>
      <c r="D27" s="392"/>
      <c r="E27" s="392"/>
      <c r="F27" s="214">
        <v>0.25</v>
      </c>
      <c r="G27" s="228">
        <f>G26*F27</f>
        <v>70376.625</v>
      </c>
      <c r="I27" s="104"/>
    </row>
    <row r="28" spans="1:9" ht="15" customHeight="1" thickBot="1" x14ac:dyDescent="0.35">
      <c r="A28" s="192"/>
      <c r="B28" s="229" t="s">
        <v>28</v>
      </c>
      <c r="C28" s="385" t="s">
        <v>86</v>
      </c>
      <c r="D28" s="385"/>
      <c r="E28" s="385"/>
      <c r="F28" s="230">
        <v>0.1</v>
      </c>
      <c r="G28" s="231">
        <f>G27*F28</f>
        <v>7037.6625000000004</v>
      </c>
      <c r="I28" s="104"/>
    </row>
    <row r="29" spans="1:9" ht="15" customHeight="1" thickTop="1" x14ac:dyDescent="0.3">
      <c r="A29" s="192"/>
      <c r="B29" s="232"/>
      <c r="C29" s="233"/>
      <c r="D29" s="234"/>
      <c r="E29" s="235"/>
      <c r="F29" s="182"/>
      <c r="G29" s="236"/>
      <c r="I29" s="104"/>
    </row>
    <row r="30" spans="1:9" ht="15" customHeight="1" thickBot="1" x14ac:dyDescent="0.35">
      <c r="A30" s="192"/>
      <c r="B30" s="237" t="s">
        <v>30</v>
      </c>
      <c r="C30" s="238"/>
      <c r="D30" s="239"/>
      <c r="E30" s="240"/>
      <c r="F30" s="241"/>
      <c r="G30" s="242">
        <f>SUM(G26,G27,G28)</f>
        <v>358920.78749999998</v>
      </c>
      <c r="I30" s="104"/>
    </row>
    <row r="31" spans="1:9" x14ac:dyDescent="0.3">
      <c r="A31" s="192"/>
      <c r="B31" s="170"/>
      <c r="C31" s="195"/>
      <c r="D31" s="195"/>
      <c r="E31" s="168"/>
      <c r="F31" s="168"/>
      <c r="G31" s="168"/>
    </row>
    <row r="32" spans="1:9" x14ac:dyDescent="0.3">
      <c r="A32" s="192"/>
      <c r="B32" s="170"/>
      <c r="C32" s="195"/>
      <c r="D32" s="195"/>
      <c r="E32" s="168"/>
      <c r="F32" s="168"/>
      <c r="G32" s="168"/>
    </row>
  </sheetData>
  <sheetProtection sheet="1" objects="1" scenarios="1"/>
  <mergeCells count="6">
    <mergeCell ref="C28:E28"/>
    <mergeCell ref="B2:G2"/>
    <mergeCell ref="B3:G3"/>
    <mergeCell ref="C23:E23"/>
    <mergeCell ref="C25:E25"/>
    <mergeCell ref="C27:E27"/>
  </mergeCells>
  <dataValidations count="4">
    <dataValidation allowBlank="1" showInputMessage="1" showErrorMessage="1" promptTitle="Green pavement marking" prompt="Green pavement marking is used to highlight conflict zones through intersections.  For this quantity, green pavement is calculated for each intersection and 10' to both sides of the intersection._x000a_" sqref="E14" xr:uid="{1F3753D5-868F-4BAE-956E-0E782784DD56}"/>
    <dataValidation allowBlank="1" showInputMessage="1" showErrorMessage="1" promptTitle="Bike Lane Ahead" prompt="Enter additional quanities for this type of sign, if desired or required." sqref="E17" xr:uid="{7E136B88-12BC-40F9-A0D2-DD9015E2E71C}"/>
    <dataValidation allowBlank="1" showInputMessage="1" showErrorMessage="1" promptTitle="Bike Lane Ends" prompt="Enter additional quanities for this type of sign, if desired or required." sqref="E18" xr:uid="{A4A30D44-0013-44F0-B2F0-7049A215F2EA}"/>
    <dataValidation allowBlank="1" showInputMessage="1" showErrorMessage="1" promptTitle="Bikes May Use Full Lane" prompt="Enter additional quanities for this type of sign, if desired or required." sqref="E20" xr:uid="{51788929-CC91-4566-B17F-2E4D4F116584}"/>
  </dataValidations>
  <pageMargins left="0.25" right="0.25" top="0.75" bottom="0.75" header="0.3" footer="0.3"/>
  <pageSetup paperSize="3" scale="78" fitToHeight="0" orientation="landscape" r:id="rId1"/>
  <ignoredErrors>
    <ignoredError sqref="G2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337B0-8846-4473-A133-F116A2050E5D}">
  <sheetPr>
    <pageSetUpPr fitToPage="1"/>
  </sheetPr>
  <dimension ref="A1:AH31"/>
  <sheetViews>
    <sheetView zoomScaleNormal="100" workbookViewId="0">
      <selection activeCell="I2" sqref="I2"/>
    </sheetView>
  </sheetViews>
  <sheetFormatPr defaultRowHeight="14.4" x14ac:dyDescent="0.3"/>
  <cols>
    <col min="1" max="1" width="8.6640625" style="2" customWidth="1"/>
    <col min="2" max="2" width="26" style="1" customWidth="1"/>
    <col min="3" max="3" width="13.109375" style="4" customWidth="1"/>
    <col min="4" max="4" width="8.6640625" style="4" customWidth="1"/>
    <col min="5" max="5" width="12.33203125" style="3" customWidth="1"/>
    <col min="6" max="6" width="12" style="3" customWidth="1"/>
    <col min="7" max="7" width="11.109375" style="3" customWidth="1"/>
    <col min="8" max="8" width="13.88671875" style="4" customWidth="1"/>
    <col min="9" max="9" width="25.6640625" style="5" customWidth="1"/>
    <col min="10" max="10" width="12.6640625" style="5" customWidth="1"/>
    <col min="11" max="11" width="14" style="5" customWidth="1"/>
    <col min="12" max="16" width="12.6640625" style="5" customWidth="1"/>
    <col min="17" max="17" width="14.44140625" style="3" bestFit="1" customWidth="1"/>
    <col min="18" max="18" width="12.6640625" style="5" customWidth="1"/>
    <col min="19" max="19" width="10.5546875" style="3" customWidth="1"/>
    <col min="20" max="23" width="12.6640625" style="5" customWidth="1"/>
    <col min="24" max="24" width="14.33203125" style="5" customWidth="1"/>
    <col min="25" max="26" width="12.6640625" style="5" customWidth="1"/>
    <col min="27" max="27" width="15.33203125" style="5" customWidth="1"/>
    <col min="28" max="28" width="12.6640625" style="5" customWidth="1"/>
    <col min="29" max="29" width="12.6640625" style="6" customWidth="1"/>
    <col min="30" max="30" width="23" style="1" customWidth="1"/>
    <col min="32" max="32" width="9.5546875" bestFit="1" customWidth="1"/>
    <col min="33" max="33" width="11.6640625" bestFit="1" customWidth="1"/>
  </cols>
  <sheetData>
    <row r="1" spans="1:34" ht="15" thickBot="1" x14ac:dyDescent="0.35">
      <c r="A1" s="154"/>
      <c r="B1" s="155"/>
      <c r="C1" s="156"/>
      <c r="D1" s="157"/>
      <c r="E1" s="158"/>
      <c r="F1" s="158"/>
      <c r="G1" s="158"/>
      <c r="H1" s="156"/>
      <c r="I1" s="11"/>
      <c r="J1" s="22"/>
      <c r="K1" s="22"/>
      <c r="L1" s="11"/>
      <c r="M1" s="11"/>
      <c r="N1" s="22"/>
      <c r="O1" s="11"/>
      <c r="P1" s="11"/>
      <c r="Q1" s="9"/>
      <c r="R1" s="11"/>
      <c r="S1" s="9"/>
      <c r="T1" s="11"/>
      <c r="U1" s="11"/>
      <c r="V1" s="11"/>
      <c r="W1" s="11"/>
      <c r="X1" s="11"/>
      <c r="Y1" s="11"/>
      <c r="Z1" s="11"/>
      <c r="AA1" s="11"/>
      <c r="AB1" s="11"/>
      <c r="AC1" s="21"/>
      <c r="AD1" s="19"/>
      <c r="AF1" s="13"/>
      <c r="AG1" s="12"/>
    </row>
    <row r="2" spans="1:34" ht="57.6" x14ac:dyDescent="0.3">
      <c r="A2" s="166"/>
      <c r="B2" s="386" t="s">
        <v>36</v>
      </c>
      <c r="C2" s="387"/>
      <c r="D2" s="387"/>
      <c r="E2" s="387"/>
      <c r="F2" s="387"/>
      <c r="G2" s="388"/>
      <c r="H2" s="166"/>
      <c r="I2" s="262" t="s">
        <v>160</v>
      </c>
      <c r="J2" s="107"/>
      <c r="K2" s="107"/>
      <c r="L2" s="107"/>
      <c r="M2" s="107"/>
      <c r="N2" s="107"/>
      <c r="O2" s="107"/>
      <c r="P2" s="107"/>
      <c r="R2" s="107"/>
      <c r="T2" s="107"/>
      <c r="U2" s="107"/>
      <c r="V2" s="107"/>
      <c r="W2" s="107"/>
      <c r="X2" s="107"/>
      <c r="Y2" s="107"/>
      <c r="Z2" s="107"/>
      <c r="AA2" s="107"/>
      <c r="AB2" s="107"/>
    </row>
    <row r="3" spans="1:34" s="5" customFormat="1" ht="15.75" customHeight="1" thickBot="1" x14ac:dyDescent="0.35">
      <c r="A3" s="166"/>
      <c r="B3" s="389" t="s">
        <v>128</v>
      </c>
      <c r="C3" s="389"/>
      <c r="D3" s="389"/>
      <c r="E3" s="389"/>
      <c r="F3" s="389"/>
      <c r="G3" s="389"/>
      <c r="H3" s="166"/>
      <c r="I3" s="14"/>
      <c r="J3" s="107"/>
      <c r="K3" s="107"/>
      <c r="L3" s="107"/>
      <c r="M3" s="107"/>
      <c r="N3" s="107"/>
      <c r="O3" s="107"/>
      <c r="P3" s="107"/>
      <c r="Q3" s="3"/>
      <c r="R3" s="107"/>
      <c r="S3" s="3"/>
      <c r="T3" s="107"/>
      <c r="U3" s="107"/>
      <c r="V3" s="107"/>
      <c r="W3" s="107"/>
      <c r="X3" s="107"/>
      <c r="Y3" s="107"/>
      <c r="Z3" s="107"/>
      <c r="AA3" s="107"/>
      <c r="AB3" s="107"/>
      <c r="AC3" s="6"/>
      <c r="AD3" s="1"/>
      <c r="AE3"/>
      <c r="AF3"/>
      <c r="AG3"/>
      <c r="AH3"/>
    </row>
    <row r="4" spans="1:34" s="5" customFormat="1" x14ac:dyDescent="0.3">
      <c r="A4" s="166"/>
      <c r="B4" s="171" t="s">
        <v>1</v>
      </c>
      <c r="C4" s="172"/>
      <c r="D4" s="172"/>
      <c r="E4" s="173" t="s">
        <v>2</v>
      </c>
      <c r="F4" s="174"/>
      <c r="G4" s="175"/>
      <c r="H4" s="166"/>
      <c r="I4" s="14"/>
      <c r="J4" s="107"/>
      <c r="K4" s="107"/>
      <c r="L4" s="107"/>
      <c r="M4" s="107"/>
      <c r="N4" s="107"/>
      <c r="O4" s="107"/>
      <c r="P4" s="107"/>
      <c r="Q4" s="3"/>
      <c r="R4" s="107"/>
      <c r="S4" s="3"/>
      <c r="T4" s="107"/>
      <c r="U4" s="107"/>
      <c r="V4" s="107"/>
      <c r="W4" s="107"/>
      <c r="X4" s="107"/>
      <c r="Y4" s="107"/>
      <c r="Z4" s="107"/>
      <c r="AA4" s="107"/>
      <c r="AB4" s="107"/>
      <c r="AC4" s="6"/>
      <c r="AD4" s="1"/>
      <c r="AE4"/>
      <c r="AF4"/>
      <c r="AG4"/>
      <c r="AH4"/>
    </row>
    <row r="5" spans="1:34" s="5" customFormat="1" ht="22.95" customHeight="1" x14ac:dyDescent="0.3">
      <c r="A5" s="166"/>
      <c r="B5" s="176" t="s">
        <v>3</v>
      </c>
      <c r="C5" s="177" t="s">
        <v>4</v>
      </c>
      <c r="D5" s="178"/>
      <c r="E5" s="151">
        <f>E6*5280</f>
        <v>5280</v>
      </c>
      <c r="F5" s="177"/>
      <c r="G5" s="179"/>
      <c r="H5" s="166"/>
      <c r="I5" s="14"/>
      <c r="J5" s="107"/>
      <c r="K5" s="107"/>
      <c r="L5" s="107"/>
      <c r="M5" s="107"/>
      <c r="N5" s="107"/>
      <c r="O5" s="107"/>
      <c r="P5" s="107"/>
      <c r="Q5" s="3"/>
      <c r="R5" s="107"/>
      <c r="S5" s="3"/>
      <c r="T5" s="107"/>
      <c r="U5" s="107"/>
      <c r="V5" s="107"/>
      <c r="W5" s="107"/>
      <c r="X5" s="107"/>
      <c r="Y5" s="107"/>
      <c r="Z5" s="107"/>
      <c r="AA5" s="107"/>
      <c r="AB5" s="107"/>
      <c r="AC5" s="6"/>
      <c r="AD5" s="1"/>
      <c r="AE5"/>
      <c r="AF5"/>
      <c r="AG5"/>
      <c r="AH5"/>
    </row>
    <row r="6" spans="1:34" s="5" customFormat="1" ht="15.6" x14ac:dyDescent="0.3">
      <c r="A6" s="166"/>
      <c r="B6" s="176" t="s">
        <v>3</v>
      </c>
      <c r="C6" s="177" t="s">
        <v>5</v>
      </c>
      <c r="D6" s="178"/>
      <c r="E6" s="258">
        <v>1</v>
      </c>
      <c r="F6" s="177"/>
      <c r="G6" s="179"/>
      <c r="H6" s="166"/>
      <c r="I6" s="14"/>
      <c r="J6" s="107"/>
      <c r="K6" s="107"/>
      <c r="L6" s="107"/>
      <c r="M6" s="107"/>
      <c r="N6" s="107"/>
      <c r="O6" s="107"/>
      <c r="P6" s="107"/>
      <c r="Q6" s="3"/>
      <c r="R6" s="107"/>
      <c r="S6" s="3"/>
      <c r="T6" s="107"/>
      <c r="U6" s="107"/>
      <c r="V6" s="107"/>
      <c r="W6" s="107"/>
      <c r="X6" s="107"/>
      <c r="Y6" s="107"/>
      <c r="Z6" s="107"/>
      <c r="AA6" s="107"/>
      <c r="AB6" s="107"/>
      <c r="AC6" s="6"/>
      <c r="AD6" s="1"/>
      <c r="AE6"/>
      <c r="AF6"/>
      <c r="AG6"/>
      <c r="AH6"/>
    </row>
    <row r="7" spans="1:34" s="5" customFormat="1" ht="15.6" x14ac:dyDescent="0.3">
      <c r="A7" s="166"/>
      <c r="B7" s="180" t="s">
        <v>6</v>
      </c>
      <c r="C7" s="181" t="s">
        <v>7</v>
      </c>
      <c r="D7" s="178"/>
      <c r="E7" s="259">
        <v>15</v>
      </c>
      <c r="F7" s="182"/>
      <c r="G7" s="179"/>
      <c r="H7" s="166"/>
      <c r="I7" s="14"/>
      <c r="J7" s="107"/>
      <c r="K7" s="107"/>
      <c r="L7" s="107"/>
      <c r="M7" s="107"/>
      <c r="N7" s="107"/>
      <c r="O7" s="107"/>
      <c r="P7" s="107"/>
      <c r="Q7" s="3"/>
      <c r="R7" s="107"/>
      <c r="S7" s="3"/>
      <c r="T7" s="107"/>
      <c r="U7" s="107"/>
      <c r="V7" s="107"/>
      <c r="W7" s="107"/>
      <c r="X7" s="107"/>
      <c r="Y7" s="107"/>
      <c r="Z7" s="107"/>
      <c r="AA7" s="107"/>
      <c r="AB7" s="107"/>
      <c r="AC7" s="6"/>
      <c r="AD7" s="1"/>
      <c r="AE7"/>
      <c r="AF7"/>
      <c r="AG7"/>
      <c r="AH7"/>
    </row>
    <row r="8" spans="1:34" s="5" customFormat="1" ht="16.2" customHeight="1" x14ac:dyDescent="0.3">
      <c r="A8" s="166"/>
      <c r="B8" s="183" t="s">
        <v>8</v>
      </c>
      <c r="C8" s="184" t="s">
        <v>4</v>
      </c>
      <c r="D8" s="178"/>
      <c r="E8" s="259">
        <v>30</v>
      </c>
      <c r="F8" s="182"/>
      <c r="G8" s="179"/>
      <c r="H8" s="166"/>
      <c r="I8" s="14"/>
      <c r="J8" s="107"/>
      <c r="K8" s="107"/>
      <c r="L8" s="107"/>
      <c r="M8" s="107"/>
      <c r="N8" s="107"/>
      <c r="O8" s="107"/>
      <c r="P8" s="107"/>
      <c r="Q8" s="3"/>
      <c r="R8" s="107"/>
      <c r="S8" s="3"/>
      <c r="T8" s="107"/>
      <c r="U8" s="107"/>
      <c r="V8" s="107"/>
      <c r="W8" s="107"/>
      <c r="X8" s="107"/>
      <c r="Y8" s="107"/>
      <c r="Z8" s="107"/>
      <c r="AA8" s="107"/>
      <c r="AB8" s="107"/>
      <c r="AC8" s="6"/>
      <c r="AD8" s="1"/>
      <c r="AE8"/>
      <c r="AF8"/>
      <c r="AG8"/>
      <c r="AH8"/>
    </row>
    <row r="9" spans="1:34" s="5" customFormat="1" ht="15.6" x14ac:dyDescent="0.3">
      <c r="A9" s="166"/>
      <c r="B9" s="183"/>
      <c r="C9" s="184"/>
      <c r="D9" s="178"/>
      <c r="E9" s="151"/>
      <c r="F9" s="185"/>
      <c r="G9" s="179"/>
      <c r="H9" s="166"/>
      <c r="I9" s="14"/>
      <c r="J9" s="107"/>
      <c r="K9" s="107"/>
      <c r="L9" s="107"/>
      <c r="M9" s="107"/>
      <c r="N9" s="107"/>
      <c r="O9" s="107"/>
      <c r="P9" s="107"/>
      <c r="Q9" s="3"/>
      <c r="R9" s="107"/>
      <c r="S9" s="3"/>
      <c r="T9" s="107"/>
      <c r="U9" s="107"/>
      <c r="V9" s="107"/>
      <c r="W9" s="107"/>
      <c r="X9" s="107"/>
      <c r="Y9" s="107"/>
      <c r="Z9" s="107"/>
      <c r="AA9" s="107"/>
      <c r="AB9" s="107"/>
      <c r="AC9" s="6"/>
      <c r="AD9" s="1"/>
      <c r="AE9"/>
      <c r="AF9"/>
      <c r="AG9"/>
      <c r="AH9"/>
    </row>
    <row r="10" spans="1:34" s="5" customFormat="1" x14ac:dyDescent="0.3">
      <c r="A10" s="166"/>
      <c r="B10" s="186" t="s">
        <v>9</v>
      </c>
      <c r="C10" s="187"/>
      <c r="D10" s="188"/>
      <c r="E10" s="187" t="s">
        <v>2</v>
      </c>
      <c r="F10" s="189" t="s">
        <v>10</v>
      </c>
      <c r="G10" s="190"/>
      <c r="H10" s="166"/>
      <c r="I10" s="14"/>
      <c r="J10" s="107"/>
      <c r="K10" s="107"/>
      <c r="L10" s="107"/>
      <c r="M10" s="107"/>
      <c r="N10" s="107"/>
      <c r="O10" s="107"/>
      <c r="P10" s="107"/>
      <c r="Q10" s="3"/>
      <c r="R10" s="107"/>
      <c r="S10" s="3"/>
      <c r="T10" s="107"/>
      <c r="U10" s="107"/>
      <c r="V10" s="107"/>
      <c r="W10" s="107"/>
      <c r="X10" s="107"/>
      <c r="Y10" s="107"/>
      <c r="Z10" s="107"/>
      <c r="AA10" s="107"/>
      <c r="AB10" s="107"/>
      <c r="AC10" s="6"/>
      <c r="AD10" s="1"/>
      <c r="AE10"/>
      <c r="AF10"/>
      <c r="AG10"/>
      <c r="AH10"/>
    </row>
    <row r="11" spans="1:34" s="5" customFormat="1" ht="15.6" x14ac:dyDescent="0.3">
      <c r="A11" s="166"/>
      <c r="B11" s="183" t="s">
        <v>33</v>
      </c>
      <c r="C11" s="184" t="s">
        <v>7</v>
      </c>
      <c r="D11" s="178"/>
      <c r="E11" s="151">
        <f>E5*2/300+E7</f>
        <v>50.2</v>
      </c>
      <c r="F11" s="185">
        <v>500</v>
      </c>
      <c r="G11" s="179">
        <f>E11*F11</f>
        <v>25100</v>
      </c>
      <c r="H11" s="166"/>
      <c r="I11" s="14"/>
      <c r="J11" s="107"/>
      <c r="K11" s="107"/>
      <c r="L11" s="107"/>
      <c r="M11" s="107"/>
      <c r="N11" s="107"/>
      <c r="O11" s="107"/>
      <c r="P11" s="107"/>
      <c r="Q11" s="3"/>
      <c r="R11" s="107"/>
      <c r="S11" s="3"/>
      <c r="T11" s="107"/>
      <c r="U11" s="107"/>
      <c r="V11" s="107"/>
      <c r="W11" s="107"/>
      <c r="X11" s="107"/>
      <c r="Y11" s="107"/>
      <c r="Z11" s="107"/>
      <c r="AA11" s="107"/>
      <c r="AB11" s="107"/>
      <c r="AC11" s="6"/>
      <c r="AD11" s="1"/>
      <c r="AE11"/>
      <c r="AF11"/>
      <c r="AG11"/>
      <c r="AH11"/>
    </row>
    <row r="12" spans="1:34" s="5" customFormat="1" ht="28.8" x14ac:dyDescent="0.3">
      <c r="A12" s="166"/>
      <c r="B12" s="191" t="s">
        <v>12</v>
      </c>
      <c r="C12" s="184" t="s">
        <v>4</v>
      </c>
      <c r="D12" s="178"/>
      <c r="E12" s="151">
        <f>E5-(E7*E8)</f>
        <v>4830</v>
      </c>
      <c r="F12" s="185">
        <v>20</v>
      </c>
      <c r="G12" s="179">
        <f>E12*F12</f>
        <v>96600</v>
      </c>
      <c r="H12" s="166"/>
      <c r="I12" s="14"/>
      <c r="J12" s="107"/>
      <c r="K12" s="107"/>
      <c r="L12" s="107"/>
      <c r="M12" s="107"/>
      <c r="N12" s="107"/>
      <c r="O12" s="107"/>
      <c r="P12" s="107"/>
      <c r="Q12" s="3"/>
      <c r="R12" s="107"/>
      <c r="S12" s="3"/>
      <c r="T12" s="107"/>
      <c r="U12" s="107"/>
      <c r="V12" s="107"/>
      <c r="W12" s="107"/>
      <c r="X12" s="107"/>
      <c r="Y12" s="107"/>
      <c r="Z12" s="107"/>
      <c r="AA12" s="107"/>
      <c r="AB12" s="107"/>
      <c r="AC12" s="6"/>
      <c r="AD12" s="1"/>
      <c r="AE12"/>
      <c r="AF12"/>
      <c r="AG12"/>
      <c r="AH12"/>
    </row>
    <row r="13" spans="1:34" s="5" customFormat="1" ht="28.8" x14ac:dyDescent="0.3">
      <c r="A13" s="166"/>
      <c r="B13" s="191" t="s">
        <v>13</v>
      </c>
      <c r="C13" s="184" t="s">
        <v>4</v>
      </c>
      <c r="D13" s="151"/>
      <c r="E13" s="260">
        <v>0</v>
      </c>
      <c r="F13" s="185">
        <v>20</v>
      </c>
      <c r="G13" s="179">
        <f>E13*F13</f>
        <v>0</v>
      </c>
      <c r="H13" s="166"/>
      <c r="I13" s="14"/>
      <c r="J13" s="107"/>
      <c r="K13" s="107"/>
      <c r="L13" s="107"/>
      <c r="M13" s="107"/>
      <c r="N13" s="107"/>
      <c r="O13" s="107"/>
      <c r="P13" s="107"/>
      <c r="Q13" s="3"/>
      <c r="R13" s="107"/>
      <c r="S13" s="3"/>
      <c r="T13" s="107"/>
      <c r="U13" s="107"/>
      <c r="V13" s="107"/>
      <c r="W13" s="107"/>
      <c r="X13" s="107"/>
      <c r="Y13" s="107"/>
      <c r="Z13" s="107"/>
      <c r="AA13" s="107"/>
      <c r="AB13" s="107"/>
      <c r="AC13" s="6"/>
      <c r="AD13" s="1"/>
      <c r="AE13"/>
      <c r="AF13"/>
      <c r="AG13"/>
      <c r="AH13"/>
    </row>
    <row r="14" spans="1:34" s="5" customFormat="1" ht="15.6" x14ac:dyDescent="0.3">
      <c r="A14" s="166"/>
      <c r="B14" s="191" t="s">
        <v>34</v>
      </c>
      <c r="C14" s="184" t="s">
        <v>35</v>
      </c>
      <c r="D14" s="151"/>
      <c r="E14" s="279">
        <f>((E8+20)*E7)*12</f>
        <v>9000</v>
      </c>
      <c r="F14" s="185">
        <v>20</v>
      </c>
      <c r="G14" s="179">
        <f>E14*F14</f>
        <v>180000</v>
      </c>
      <c r="H14" s="166"/>
      <c r="I14" s="14"/>
      <c r="J14" s="107"/>
      <c r="K14" s="107"/>
      <c r="L14" s="107"/>
      <c r="M14" s="107"/>
      <c r="N14" s="107"/>
      <c r="O14" s="107"/>
      <c r="P14" s="107"/>
      <c r="Q14" s="3"/>
      <c r="R14" s="107"/>
      <c r="S14" s="3"/>
      <c r="T14" s="107"/>
      <c r="U14" s="107"/>
      <c r="V14" s="107"/>
      <c r="W14" s="107"/>
      <c r="X14" s="107"/>
      <c r="Y14" s="107"/>
      <c r="Z14" s="107"/>
      <c r="AA14" s="107"/>
      <c r="AB14" s="107"/>
      <c r="AC14" s="6"/>
      <c r="AD14" s="1"/>
      <c r="AE14"/>
      <c r="AF14"/>
      <c r="AG14"/>
      <c r="AH14"/>
    </row>
    <row r="15" spans="1:34" ht="28.8" x14ac:dyDescent="0.3">
      <c r="A15" s="192"/>
      <c r="B15" s="186" t="s">
        <v>14</v>
      </c>
      <c r="C15" s="187" t="s">
        <v>15</v>
      </c>
      <c r="D15" s="193" t="s">
        <v>16</v>
      </c>
      <c r="E15" s="194" t="s">
        <v>2</v>
      </c>
      <c r="F15" s="189" t="s">
        <v>10</v>
      </c>
      <c r="G15" s="190"/>
      <c r="H15" s="195"/>
      <c r="I15" s="107"/>
      <c r="J15" s="107"/>
      <c r="K15" s="107"/>
      <c r="L15" s="107"/>
      <c r="M15" s="107"/>
      <c r="N15" s="107"/>
      <c r="O15" s="107"/>
      <c r="P15" s="107"/>
      <c r="R15" s="107"/>
      <c r="T15" s="107"/>
      <c r="U15" s="107"/>
      <c r="V15" s="107"/>
      <c r="W15" s="107"/>
      <c r="X15" s="107"/>
      <c r="Y15" s="107"/>
      <c r="Z15" s="107"/>
      <c r="AA15" s="107"/>
      <c r="AB15" s="107"/>
    </row>
    <row r="16" spans="1:34" ht="15.6" x14ac:dyDescent="0.3">
      <c r="A16" s="192"/>
      <c r="B16" s="197" t="s">
        <v>120</v>
      </c>
      <c r="C16" s="152" t="s">
        <v>17</v>
      </c>
      <c r="D16" s="151">
        <v>3</v>
      </c>
      <c r="E16" s="152">
        <f>E6*4+E7+2</f>
        <v>21</v>
      </c>
      <c r="F16" s="185">
        <v>50</v>
      </c>
      <c r="G16" s="198">
        <f>D16*E16*F16</f>
        <v>3150</v>
      </c>
      <c r="H16" s="195"/>
      <c r="I16" s="107"/>
      <c r="J16" s="107"/>
      <c r="K16" s="107"/>
      <c r="L16" s="107"/>
      <c r="M16" s="107"/>
      <c r="N16" s="107"/>
      <c r="O16" s="107"/>
      <c r="P16" s="107"/>
      <c r="R16" s="107"/>
      <c r="T16" s="107"/>
      <c r="U16" s="107"/>
      <c r="V16" s="107"/>
      <c r="W16" s="107"/>
      <c r="X16" s="107"/>
      <c r="Y16" s="107"/>
      <c r="Z16" s="107"/>
      <c r="AA16" s="107"/>
      <c r="AB16" s="107"/>
    </row>
    <row r="17" spans="1:8" x14ac:dyDescent="0.3">
      <c r="A17" s="192"/>
      <c r="B17" s="197" t="s">
        <v>121</v>
      </c>
      <c r="C17" s="152" t="s">
        <v>18</v>
      </c>
      <c r="D17" s="153">
        <v>1.3</v>
      </c>
      <c r="E17" s="264">
        <v>0</v>
      </c>
      <c r="F17" s="185">
        <v>50</v>
      </c>
      <c r="G17" s="198">
        <f>D17*E17*F17</f>
        <v>0</v>
      </c>
      <c r="H17" s="195"/>
    </row>
    <row r="18" spans="1:8" x14ac:dyDescent="0.3">
      <c r="A18" s="192"/>
      <c r="B18" s="197" t="s">
        <v>122</v>
      </c>
      <c r="C18" s="152" t="s">
        <v>18</v>
      </c>
      <c r="D18" s="153">
        <v>1.3</v>
      </c>
      <c r="E18" s="264">
        <v>0</v>
      </c>
      <c r="F18" s="185">
        <v>50</v>
      </c>
      <c r="G18" s="198">
        <f t="shared" ref="G18:G20" si="0">D18*E18*F18</f>
        <v>0</v>
      </c>
      <c r="H18" s="195"/>
    </row>
    <row r="19" spans="1:8" ht="28.8" x14ac:dyDescent="0.3">
      <c r="A19" s="192"/>
      <c r="B19" s="197" t="s">
        <v>123</v>
      </c>
      <c r="C19" s="152" t="s">
        <v>19</v>
      </c>
      <c r="D19" s="153">
        <v>7.5</v>
      </c>
      <c r="E19" s="153">
        <f>E7*4</f>
        <v>60</v>
      </c>
      <c r="F19" s="185">
        <v>50</v>
      </c>
      <c r="G19" s="198">
        <f t="shared" si="0"/>
        <v>22500</v>
      </c>
      <c r="H19" s="195"/>
    </row>
    <row r="20" spans="1:8" ht="28.8" x14ac:dyDescent="0.3">
      <c r="A20" s="192"/>
      <c r="B20" s="197" t="s">
        <v>124</v>
      </c>
      <c r="C20" s="152" t="s">
        <v>20</v>
      </c>
      <c r="D20" s="153">
        <v>6.25</v>
      </c>
      <c r="E20" s="260">
        <v>0</v>
      </c>
      <c r="F20" s="185">
        <v>50</v>
      </c>
      <c r="G20" s="198">
        <f t="shared" si="0"/>
        <v>0</v>
      </c>
      <c r="H20" s="195"/>
    </row>
    <row r="21" spans="1:8" ht="15" customHeight="1" x14ac:dyDescent="0.3">
      <c r="A21" s="192"/>
      <c r="B21" s="201" t="s">
        <v>21</v>
      </c>
      <c r="C21" s="202"/>
      <c r="D21" s="203"/>
      <c r="E21" s="204"/>
      <c r="F21" s="205"/>
      <c r="G21" s="206">
        <f>SUM(G11:G20)</f>
        <v>327350</v>
      </c>
      <c r="H21" s="195"/>
    </row>
    <row r="22" spans="1:8" ht="15" customHeight="1" x14ac:dyDescent="0.3">
      <c r="A22" s="192"/>
      <c r="B22" s="207"/>
      <c r="C22" s="208"/>
      <c r="D22" s="209"/>
      <c r="E22" s="210"/>
      <c r="F22" s="211"/>
      <c r="G22" s="212"/>
      <c r="H22" s="195"/>
    </row>
    <row r="23" spans="1:8" ht="15" customHeight="1" x14ac:dyDescent="0.3">
      <c r="A23" s="192"/>
      <c r="B23" s="213" t="s">
        <v>22</v>
      </c>
      <c r="C23" s="390" t="s">
        <v>23</v>
      </c>
      <c r="D23" s="390"/>
      <c r="E23" s="390"/>
      <c r="F23" s="214">
        <v>0.1</v>
      </c>
      <c r="G23" s="215">
        <f>G21*F23</f>
        <v>32735</v>
      </c>
      <c r="H23" s="195"/>
    </row>
    <row r="24" spans="1:8" ht="15" customHeight="1" x14ac:dyDescent="0.3">
      <c r="A24" s="192"/>
      <c r="B24" s="207" t="s">
        <v>24</v>
      </c>
      <c r="C24" s="208"/>
      <c r="D24" s="216"/>
      <c r="E24" s="217"/>
      <c r="F24" s="218"/>
      <c r="G24" s="212">
        <f>SUM(G21:G23)</f>
        <v>360085</v>
      </c>
      <c r="H24" s="195"/>
    </row>
    <row r="25" spans="1:8" ht="15" customHeight="1" x14ac:dyDescent="0.3">
      <c r="A25" s="192"/>
      <c r="B25" s="219" t="s">
        <v>25</v>
      </c>
      <c r="C25" s="391" t="s">
        <v>23</v>
      </c>
      <c r="D25" s="391"/>
      <c r="E25" s="391"/>
      <c r="F25" s="220">
        <v>0.1</v>
      </c>
      <c r="G25" s="221">
        <f>G24*F25</f>
        <v>36008.5</v>
      </c>
      <c r="H25" s="195"/>
    </row>
    <row r="26" spans="1:8" ht="15" customHeight="1" thickBot="1" x14ac:dyDescent="0.35">
      <c r="A26" s="192"/>
      <c r="B26" s="222" t="s">
        <v>21</v>
      </c>
      <c r="C26" s="223"/>
      <c r="D26" s="224"/>
      <c r="E26" s="225"/>
      <c r="F26" s="226"/>
      <c r="G26" s="227">
        <f>SUM(G24:G25)</f>
        <v>396093.5</v>
      </c>
      <c r="H26" s="195"/>
    </row>
    <row r="27" spans="1:8" ht="15" customHeight="1" thickTop="1" x14ac:dyDescent="0.3">
      <c r="A27" s="192"/>
      <c r="B27" s="213" t="s">
        <v>26</v>
      </c>
      <c r="C27" s="392" t="s">
        <v>27</v>
      </c>
      <c r="D27" s="392"/>
      <c r="E27" s="392"/>
      <c r="F27" s="214">
        <v>0.25</v>
      </c>
      <c r="G27" s="228">
        <f>G26*F27</f>
        <v>99023.375</v>
      </c>
      <c r="H27" s="195"/>
    </row>
    <row r="28" spans="1:8" ht="15" customHeight="1" thickBot="1" x14ac:dyDescent="0.35">
      <c r="A28" s="192"/>
      <c r="B28" s="229" t="s">
        <v>28</v>
      </c>
      <c r="C28" s="385" t="s">
        <v>86</v>
      </c>
      <c r="D28" s="385"/>
      <c r="E28" s="385"/>
      <c r="F28" s="230">
        <v>0.1</v>
      </c>
      <c r="G28" s="231">
        <f>G27*F28</f>
        <v>9902.3375000000015</v>
      </c>
      <c r="H28" s="195"/>
    </row>
    <row r="29" spans="1:8" ht="15" customHeight="1" thickTop="1" x14ac:dyDescent="0.3">
      <c r="A29" s="192"/>
      <c r="B29" s="232"/>
      <c r="C29" s="233"/>
      <c r="D29" s="234"/>
      <c r="E29" s="235"/>
      <c r="F29" s="182"/>
      <c r="G29" s="236"/>
      <c r="H29" s="195"/>
    </row>
    <row r="30" spans="1:8" ht="15" customHeight="1" thickBot="1" x14ac:dyDescent="0.35">
      <c r="A30" s="192"/>
      <c r="B30" s="237" t="s">
        <v>30</v>
      </c>
      <c r="C30" s="238"/>
      <c r="D30" s="239"/>
      <c r="E30" s="240"/>
      <c r="F30" s="241"/>
      <c r="G30" s="242">
        <f>SUM(G26,G27,G28)</f>
        <v>505019.21250000002</v>
      </c>
      <c r="H30" s="195"/>
    </row>
    <row r="31" spans="1:8" x14ac:dyDescent="0.3">
      <c r="A31" s="192"/>
      <c r="B31" s="170"/>
      <c r="C31" s="195"/>
      <c r="D31" s="195"/>
      <c r="E31" s="168"/>
      <c r="F31" s="168"/>
      <c r="G31" s="168"/>
      <c r="H31" s="195"/>
    </row>
  </sheetData>
  <sheetProtection sheet="1" objects="1" scenarios="1"/>
  <mergeCells count="6">
    <mergeCell ref="C28:E28"/>
    <mergeCell ref="B2:G2"/>
    <mergeCell ref="B3:G3"/>
    <mergeCell ref="C23:E23"/>
    <mergeCell ref="C25:E25"/>
    <mergeCell ref="C27:E27"/>
  </mergeCells>
  <dataValidations count="3">
    <dataValidation allowBlank="1" showInputMessage="1" showErrorMessage="1" promptTitle="Bike Lane Ahead" prompt="Enter additional quanities for this type of sign, if desired or required." sqref="E17" xr:uid="{712B83C9-7727-4AD4-B749-D2D1C5EFCAED}"/>
    <dataValidation allowBlank="1" showInputMessage="1" showErrorMessage="1" promptTitle="Bike Lane Ends" prompt="Enter additional quanities for this type of sign, if desired or required." sqref="E18" xr:uid="{959EE366-0C53-45E8-9296-894B75C025CF}"/>
    <dataValidation allowBlank="1" showInputMessage="1" showErrorMessage="1" promptTitle="Bikes May Use Full Lane" prompt="Enter additional quanities for this type of sign, if desired or required." sqref="E20" xr:uid="{C82E700A-EE5D-40E4-9BA9-6AB45ECE4C87}"/>
  </dataValidations>
  <pageMargins left="0.25" right="0.25" top="0.75" bottom="0.75" header="0.3" footer="0.3"/>
  <pageSetup paperSize="3" scale="78" fitToHeight="0" orientation="landscape" r:id="rId1"/>
  <ignoredErrors>
    <ignoredError sqref="G2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28FD-A6E2-43E7-8EB4-D41E3B989E5C}">
  <sheetPr>
    <pageSetUpPr fitToPage="1"/>
  </sheetPr>
  <dimension ref="A1:AH32"/>
  <sheetViews>
    <sheetView zoomScaleNormal="100" workbookViewId="0">
      <selection activeCell="I2" sqref="I2"/>
    </sheetView>
  </sheetViews>
  <sheetFormatPr defaultRowHeight="14.4" x14ac:dyDescent="0.3"/>
  <cols>
    <col min="1" max="1" width="8.6640625" style="2" customWidth="1"/>
    <col min="2" max="2" width="26" style="1" customWidth="1"/>
    <col min="3" max="3" width="13.33203125" style="4" customWidth="1"/>
    <col min="4" max="4" width="8.6640625" style="4" customWidth="1"/>
    <col min="5" max="5" width="12.33203125" style="3" customWidth="1"/>
    <col min="6" max="7" width="12" style="3" customWidth="1"/>
    <col min="8" max="8" width="13.88671875" style="4" customWidth="1"/>
    <col min="9" max="9" width="25.33203125" style="5" customWidth="1"/>
    <col min="10" max="10" width="12.6640625" style="5" customWidth="1"/>
    <col min="11" max="11" width="14" style="5" customWidth="1"/>
    <col min="12" max="16" width="12.6640625" style="5" customWidth="1"/>
    <col min="17" max="17" width="14.44140625" style="3" bestFit="1" customWidth="1"/>
    <col min="18" max="18" width="12.6640625" style="5" customWidth="1"/>
    <col min="19" max="19" width="10.5546875" style="3" customWidth="1"/>
    <col min="20" max="23" width="12.6640625" style="5" customWidth="1"/>
    <col min="24" max="24" width="14.33203125" style="5" customWidth="1"/>
    <col min="25" max="26" width="12.6640625" style="5" customWidth="1"/>
    <col min="27" max="27" width="15.33203125" style="5" customWidth="1"/>
    <col min="28" max="28" width="12.6640625" style="5" customWidth="1"/>
    <col min="29" max="29" width="12.6640625" style="6" customWidth="1"/>
    <col min="30" max="30" width="23" style="1" customWidth="1"/>
    <col min="32" max="32" width="9.5546875" bestFit="1" customWidth="1"/>
    <col min="33" max="33" width="11.6640625" bestFit="1" customWidth="1"/>
  </cols>
  <sheetData>
    <row r="1" spans="1:34" ht="15" thickBot="1" x14ac:dyDescent="0.35">
      <c r="A1" s="154"/>
      <c r="B1" s="155"/>
      <c r="C1" s="156"/>
      <c r="D1" s="157"/>
      <c r="E1" s="158"/>
      <c r="F1" s="158"/>
      <c r="G1" s="158"/>
      <c r="H1" s="156"/>
      <c r="I1" s="11"/>
      <c r="J1" s="22"/>
      <c r="K1" s="22"/>
      <c r="L1" s="11"/>
      <c r="M1" s="11"/>
      <c r="N1" s="22"/>
      <c r="O1" s="11"/>
      <c r="P1" s="11"/>
      <c r="Q1" s="9"/>
      <c r="R1" s="11"/>
      <c r="S1" s="9"/>
      <c r="T1" s="11"/>
      <c r="U1" s="11"/>
      <c r="V1" s="11"/>
      <c r="W1" s="11"/>
      <c r="X1" s="11"/>
      <c r="Y1" s="11"/>
      <c r="Z1" s="11"/>
      <c r="AA1" s="11"/>
      <c r="AB1" s="11"/>
      <c r="AC1" s="21"/>
      <c r="AD1" s="19"/>
      <c r="AF1" s="13"/>
      <c r="AG1" s="12"/>
    </row>
    <row r="2" spans="1:34" ht="57.6" x14ac:dyDescent="0.3">
      <c r="A2" s="166"/>
      <c r="B2" s="386" t="s">
        <v>37</v>
      </c>
      <c r="C2" s="387"/>
      <c r="D2" s="387"/>
      <c r="E2" s="387"/>
      <c r="F2" s="387"/>
      <c r="G2" s="388"/>
      <c r="H2" s="166"/>
      <c r="I2" s="262" t="s">
        <v>160</v>
      </c>
      <c r="J2" s="107"/>
      <c r="K2" s="107"/>
      <c r="L2" s="107"/>
      <c r="M2" s="107"/>
      <c r="N2" s="107"/>
      <c r="O2" s="107"/>
      <c r="P2" s="107"/>
      <c r="R2" s="107"/>
      <c r="T2" s="107"/>
      <c r="U2" s="107"/>
      <c r="V2" s="107"/>
      <c r="W2" s="107"/>
      <c r="X2" s="107"/>
      <c r="Y2" s="107"/>
      <c r="Z2" s="107"/>
      <c r="AA2" s="107"/>
      <c r="AB2" s="107"/>
    </row>
    <row r="3" spans="1:34" s="5" customFormat="1" ht="15.75" customHeight="1" thickBot="1" x14ac:dyDescent="0.35">
      <c r="A3" s="166"/>
      <c r="B3" s="389" t="s">
        <v>128</v>
      </c>
      <c r="C3" s="389"/>
      <c r="D3" s="389"/>
      <c r="E3" s="389"/>
      <c r="F3" s="389"/>
      <c r="G3" s="389"/>
      <c r="H3" s="166"/>
      <c r="I3" s="14"/>
      <c r="J3" s="107"/>
      <c r="K3" s="107"/>
      <c r="L3" s="107"/>
      <c r="M3" s="107"/>
      <c r="N3" s="107"/>
      <c r="O3" s="107"/>
      <c r="P3" s="107"/>
      <c r="Q3" s="3"/>
      <c r="R3" s="107"/>
      <c r="S3" s="3"/>
      <c r="T3" s="107"/>
      <c r="U3" s="107"/>
      <c r="V3" s="107"/>
      <c r="W3" s="107"/>
      <c r="X3" s="107"/>
      <c r="Y3" s="107"/>
      <c r="Z3" s="107"/>
      <c r="AA3" s="107"/>
      <c r="AB3" s="107"/>
      <c r="AC3" s="6"/>
      <c r="AD3" s="1"/>
      <c r="AE3"/>
      <c r="AF3"/>
      <c r="AG3"/>
      <c r="AH3"/>
    </row>
    <row r="4" spans="1:34" s="5" customFormat="1" x14ac:dyDescent="0.3">
      <c r="A4" s="166"/>
      <c r="B4" s="171" t="s">
        <v>1</v>
      </c>
      <c r="C4" s="172"/>
      <c r="D4" s="172"/>
      <c r="E4" s="173" t="s">
        <v>2</v>
      </c>
      <c r="F4" s="174"/>
      <c r="G4" s="175"/>
      <c r="H4" s="166"/>
      <c r="I4" s="14"/>
      <c r="J4" s="107"/>
      <c r="K4" s="107"/>
      <c r="L4" s="107"/>
      <c r="M4" s="107"/>
      <c r="N4" s="107"/>
      <c r="O4" s="107"/>
      <c r="P4" s="107"/>
      <c r="Q4" s="3"/>
      <c r="R4" s="107"/>
      <c r="S4" s="3"/>
      <c r="T4" s="107"/>
      <c r="U4" s="107"/>
      <c r="V4" s="107"/>
      <c r="W4" s="107"/>
      <c r="X4" s="107"/>
      <c r="Y4" s="107"/>
      <c r="Z4" s="107"/>
      <c r="AA4" s="107"/>
      <c r="AB4" s="107"/>
      <c r="AC4" s="6"/>
      <c r="AD4" s="1"/>
      <c r="AE4"/>
      <c r="AF4"/>
      <c r="AG4"/>
      <c r="AH4"/>
    </row>
    <row r="5" spans="1:34" s="5" customFormat="1" ht="19.95" customHeight="1" x14ac:dyDescent="0.3">
      <c r="A5" s="166"/>
      <c r="B5" s="176" t="s">
        <v>3</v>
      </c>
      <c r="C5" s="177" t="s">
        <v>4</v>
      </c>
      <c r="D5" s="178"/>
      <c r="E5" s="151">
        <f>E6*5280</f>
        <v>7920</v>
      </c>
      <c r="F5" s="177"/>
      <c r="G5" s="179"/>
      <c r="H5" s="166"/>
      <c r="I5" s="14"/>
      <c r="J5" s="107"/>
      <c r="K5" s="107"/>
      <c r="L5" s="107"/>
      <c r="M5" s="107"/>
      <c r="N5" s="107"/>
      <c r="O5" s="107"/>
      <c r="P5" s="107"/>
      <c r="Q5" s="3"/>
      <c r="R5" s="107"/>
      <c r="S5" s="3"/>
      <c r="T5" s="107"/>
      <c r="U5" s="107"/>
      <c r="V5" s="107"/>
      <c r="W5" s="107"/>
      <c r="X5" s="107"/>
      <c r="Y5" s="107"/>
      <c r="Z5" s="107"/>
      <c r="AA5" s="107"/>
      <c r="AB5" s="107"/>
      <c r="AC5" s="6"/>
      <c r="AD5" s="1"/>
      <c r="AE5"/>
      <c r="AF5"/>
      <c r="AG5"/>
      <c r="AH5"/>
    </row>
    <row r="6" spans="1:34" s="5" customFormat="1" ht="15.6" x14ac:dyDescent="0.3">
      <c r="A6" s="166"/>
      <c r="B6" s="176" t="s">
        <v>3</v>
      </c>
      <c r="C6" s="177" t="s">
        <v>5</v>
      </c>
      <c r="D6" s="178"/>
      <c r="E6" s="258">
        <v>1.5</v>
      </c>
      <c r="F6" s="177"/>
      <c r="G6" s="179"/>
      <c r="H6" s="166"/>
      <c r="I6" s="14"/>
      <c r="J6" s="107"/>
      <c r="K6" s="107"/>
      <c r="L6" s="107"/>
      <c r="M6" s="107"/>
      <c r="N6" s="107"/>
      <c r="O6" s="107"/>
      <c r="P6" s="107"/>
      <c r="Q6" s="3"/>
      <c r="R6" s="107"/>
      <c r="S6" s="3"/>
      <c r="T6" s="107"/>
      <c r="U6" s="107"/>
      <c r="V6" s="107"/>
      <c r="W6" s="107"/>
      <c r="X6" s="107"/>
      <c r="Y6" s="107"/>
      <c r="Z6" s="107"/>
      <c r="AA6" s="107"/>
      <c r="AB6" s="107"/>
      <c r="AC6" s="6"/>
      <c r="AD6" s="1"/>
      <c r="AE6"/>
      <c r="AF6"/>
      <c r="AG6"/>
      <c r="AH6"/>
    </row>
    <row r="7" spans="1:34" s="5" customFormat="1" ht="15.6" x14ac:dyDescent="0.3">
      <c r="A7" s="166"/>
      <c r="B7" s="180" t="s">
        <v>6</v>
      </c>
      <c r="C7" s="181" t="s">
        <v>7</v>
      </c>
      <c r="D7" s="178"/>
      <c r="E7" s="259">
        <v>12</v>
      </c>
      <c r="F7" s="182"/>
      <c r="G7" s="179"/>
      <c r="H7" s="166"/>
      <c r="I7" s="14"/>
      <c r="J7" s="107"/>
      <c r="K7" s="107"/>
      <c r="L7" s="107"/>
      <c r="M7" s="107"/>
      <c r="N7" s="107"/>
      <c r="O7" s="107"/>
      <c r="P7" s="107"/>
      <c r="Q7" s="3"/>
      <c r="R7" s="107"/>
      <c r="S7" s="3"/>
      <c r="T7" s="107"/>
      <c r="U7" s="107"/>
      <c r="V7" s="107"/>
      <c r="W7" s="107"/>
      <c r="X7" s="107"/>
      <c r="Y7" s="107"/>
      <c r="Z7" s="107"/>
      <c r="AA7" s="107"/>
      <c r="AB7" s="107"/>
      <c r="AC7" s="6"/>
      <c r="AD7" s="1"/>
      <c r="AE7"/>
      <c r="AF7"/>
      <c r="AG7"/>
      <c r="AH7"/>
    </row>
    <row r="8" spans="1:34" s="5" customFormat="1" ht="12" customHeight="1" x14ac:dyDescent="0.3">
      <c r="A8" s="166"/>
      <c r="B8" s="183" t="s">
        <v>8</v>
      </c>
      <c r="C8" s="184" t="s">
        <v>4</v>
      </c>
      <c r="D8" s="178"/>
      <c r="E8" s="259">
        <v>40</v>
      </c>
      <c r="F8" s="182"/>
      <c r="G8" s="179"/>
      <c r="H8" s="166"/>
      <c r="I8" s="14"/>
      <c r="J8" s="107"/>
      <c r="K8" s="107"/>
      <c r="L8" s="107"/>
      <c r="M8" s="107"/>
      <c r="N8" s="107"/>
      <c r="O8" s="107"/>
      <c r="P8" s="107"/>
      <c r="Q8" s="3"/>
      <c r="R8" s="107"/>
      <c r="S8" s="3"/>
      <c r="T8" s="107"/>
      <c r="U8" s="107"/>
      <c r="V8" s="107"/>
      <c r="W8" s="107"/>
      <c r="X8" s="107"/>
      <c r="Y8" s="107"/>
      <c r="Z8" s="107"/>
      <c r="AA8" s="107"/>
      <c r="AB8" s="107"/>
      <c r="AC8" s="6"/>
      <c r="AD8" s="1"/>
      <c r="AE8"/>
      <c r="AF8"/>
      <c r="AG8"/>
      <c r="AH8"/>
    </row>
    <row r="9" spans="1:34" s="5" customFormat="1" ht="15.6" x14ac:dyDescent="0.3">
      <c r="A9" s="166"/>
      <c r="B9" s="183"/>
      <c r="C9" s="184"/>
      <c r="D9" s="178"/>
      <c r="E9" s="151"/>
      <c r="F9" s="185"/>
      <c r="G9" s="179"/>
      <c r="H9" s="166"/>
      <c r="I9" s="14"/>
      <c r="J9" s="107"/>
      <c r="K9" s="107"/>
      <c r="L9" s="107"/>
      <c r="M9" s="107"/>
      <c r="N9" s="107"/>
      <c r="O9" s="107"/>
      <c r="P9" s="107"/>
      <c r="Q9" s="3"/>
      <c r="R9" s="107"/>
      <c r="S9" s="3"/>
      <c r="T9" s="107"/>
      <c r="U9" s="107"/>
      <c r="V9" s="107"/>
      <c r="W9" s="107"/>
      <c r="X9" s="107"/>
      <c r="Y9" s="107"/>
      <c r="Z9" s="107"/>
      <c r="AA9" s="107"/>
      <c r="AB9" s="107"/>
      <c r="AC9" s="6"/>
      <c r="AD9" s="1"/>
      <c r="AE9"/>
      <c r="AF9"/>
      <c r="AG9"/>
      <c r="AH9"/>
    </row>
    <row r="10" spans="1:34" s="5" customFormat="1" x14ac:dyDescent="0.3">
      <c r="A10" s="166"/>
      <c r="B10" s="186" t="s">
        <v>9</v>
      </c>
      <c r="C10" s="187"/>
      <c r="D10" s="188"/>
      <c r="E10" s="187" t="s">
        <v>2</v>
      </c>
      <c r="F10" s="189" t="s">
        <v>10</v>
      </c>
      <c r="G10" s="190"/>
      <c r="H10" s="166"/>
      <c r="I10" s="14"/>
      <c r="J10" s="107"/>
      <c r="K10" s="107"/>
      <c r="L10" s="107"/>
      <c r="M10" s="107"/>
      <c r="N10" s="107"/>
      <c r="O10" s="107"/>
      <c r="P10" s="107"/>
      <c r="Q10" s="3"/>
      <c r="R10" s="107"/>
      <c r="S10" s="3"/>
      <c r="T10" s="107"/>
      <c r="U10" s="107"/>
      <c r="V10" s="107"/>
      <c r="W10" s="107"/>
      <c r="X10" s="107"/>
      <c r="Y10" s="107"/>
      <c r="Z10" s="107"/>
      <c r="AA10" s="107"/>
      <c r="AB10" s="107"/>
      <c r="AC10" s="6"/>
      <c r="AD10" s="1"/>
      <c r="AE10"/>
      <c r="AF10"/>
      <c r="AG10"/>
      <c r="AH10"/>
    </row>
    <row r="11" spans="1:34" s="5" customFormat="1" ht="15.6" x14ac:dyDescent="0.3">
      <c r="A11" s="166"/>
      <c r="B11" s="183" t="s">
        <v>33</v>
      </c>
      <c r="C11" s="184" t="s">
        <v>7</v>
      </c>
      <c r="D11" s="178"/>
      <c r="E11" s="151">
        <f>E5/300+E7</f>
        <v>38.4</v>
      </c>
      <c r="F11" s="185">
        <v>500</v>
      </c>
      <c r="G11" s="179">
        <f>E11*F11</f>
        <v>19200</v>
      </c>
      <c r="H11" s="166"/>
      <c r="I11" s="14"/>
      <c r="J11" s="107"/>
      <c r="K11" s="107"/>
      <c r="L11" s="107"/>
      <c r="M11" s="107"/>
      <c r="N11" s="107"/>
      <c r="O11" s="107"/>
      <c r="P11" s="107"/>
      <c r="Q11" s="3"/>
      <c r="R11" s="107"/>
      <c r="S11" s="3"/>
      <c r="T11" s="107"/>
      <c r="U11" s="107"/>
      <c r="V11" s="107"/>
      <c r="W11" s="107"/>
      <c r="X11" s="107"/>
      <c r="Y11" s="107"/>
      <c r="Z11" s="107"/>
      <c r="AA11" s="107"/>
      <c r="AB11" s="107"/>
      <c r="AC11" s="6"/>
      <c r="AD11" s="1"/>
      <c r="AE11"/>
      <c r="AF11"/>
      <c r="AG11"/>
      <c r="AH11"/>
    </row>
    <row r="12" spans="1:34" s="5" customFormat="1" ht="28.8" x14ac:dyDescent="0.3">
      <c r="A12" s="166"/>
      <c r="B12" s="191" t="s">
        <v>12</v>
      </c>
      <c r="C12" s="184" t="s">
        <v>4</v>
      </c>
      <c r="D12" s="178"/>
      <c r="E12" s="151">
        <f>E5*2-(E7*E8)</f>
        <v>15360</v>
      </c>
      <c r="F12" s="185">
        <v>20</v>
      </c>
      <c r="G12" s="179">
        <f>E12*F12</f>
        <v>307200</v>
      </c>
      <c r="H12" s="166"/>
      <c r="I12" s="14"/>
      <c r="J12" s="107"/>
      <c r="K12" s="107"/>
      <c r="L12" s="107"/>
      <c r="M12" s="107"/>
      <c r="N12" s="107"/>
      <c r="O12" s="107"/>
      <c r="P12" s="107"/>
      <c r="Q12" s="3"/>
      <c r="R12" s="107"/>
      <c r="S12" s="3"/>
      <c r="T12" s="107"/>
      <c r="U12" s="107"/>
      <c r="V12" s="107"/>
      <c r="W12" s="107"/>
      <c r="X12" s="107"/>
      <c r="Y12" s="107"/>
      <c r="Z12" s="107"/>
      <c r="AA12" s="107"/>
      <c r="AB12" s="107"/>
      <c r="AC12" s="6"/>
      <c r="AD12" s="1"/>
      <c r="AE12"/>
      <c r="AF12"/>
      <c r="AG12"/>
      <c r="AH12"/>
    </row>
    <row r="13" spans="1:34" s="5" customFormat="1" ht="28.8" x14ac:dyDescent="0.3">
      <c r="A13" s="166"/>
      <c r="B13" s="191" t="s">
        <v>13</v>
      </c>
      <c r="C13" s="184" t="s">
        <v>4</v>
      </c>
      <c r="D13" s="151"/>
      <c r="E13" s="260">
        <v>0</v>
      </c>
      <c r="F13" s="185">
        <v>20</v>
      </c>
      <c r="G13" s="179">
        <f>E13*F13</f>
        <v>0</v>
      </c>
      <c r="H13" s="166"/>
      <c r="I13" s="14"/>
      <c r="J13" s="107"/>
      <c r="K13" s="107"/>
      <c r="L13" s="107"/>
      <c r="M13" s="107"/>
      <c r="N13" s="107"/>
      <c r="O13" s="107"/>
      <c r="P13" s="107"/>
      <c r="Q13" s="3"/>
      <c r="R13" s="107"/>
      <c r="S13" s="3"/>
      <c r="T13" s="107"/>
      <c r="U13" s="107"/>
      <c r="V13" s="107"/>
      <c r="W13" s="107"/>
      <c r="X13" s="107"/>
      <c r="Y13" s="107"/>
      <c r="Z13" s="107"/>
      <c r="AA13" s="107"/>
      <c r="AB13" s="107"/>
      <c r="AC13" s="6"/>
      <c r="AD13" s="1"/>
      <c r="AE13"/>
      <c r="AF13"/>
      <c r="AG13"/>
      <c r="AH13"/>
    </row>
    <row r="14" spans="1:34" s="5" customFormat="1" ht="15.6" x14ac:dyDescent="0.3">
      <c r="A14" s="166"/>
      <c r="B14" s="191" t="s">
        <v>34</v>
      </c>
      <c r="C14" s="184" t="s">
        <v>35</v>
      </c>
      <c r="D14" s="151"/>
      <c r="E14" s="279">
        <f>((E8+20)*E7)*6</f>
        <v>4320</v>
      </c>
      <c r="F14" s="185">
        <v>20</v>
      </c>
      <c r="G14" s="179">
        <f>E14*F14</f>
        <v>86400</v>
      </c>
      <c r="H14" s="166"/>
      <c r="I14" s="14"/>
      <c r="J14" s="107"/>
      <c r="K14" s="107"/>
      <c r="L14" s="107"/>
      <c r="M14" s="107"/>
      <c r="N14" s="107"/>
      <c r="O14" s="107"/>
      <c r="P14" s="107"/>
      <c r="Q14" s="3"/>
      <c r="R14" s="107"/>
      <c r="S14" s="3"/>
      <c r="T14" s="107"/>
      <c r="U14" s="107"/>
      <c r="V14" s="107"/>
      <c r="W14" s="107"/>
      <c r="X14" s="107"/>
      <c r="Y14" s="107"/>
      <c r="Z14" s="107"/>
      <c r="AA14" s="107"/>
      <c r="AB14" s="107"/>
      <c r="AC14" s="6"/>
      <c r="AD14" s="1"/>
      <c r="AE14"/>
      <c r="AF14"/>
      <c r="AG14"/>
      <c r="AH14"/>
    </row>
    <row r="15" spans="1:34" ht="28.8" x14ac:dyDescent="0.3">
      <c r="A15" s="192"/>
      <c r="B15" s="186" t="s">
        <v>14</v>
      </c>
      <c r="C15" s="187" t="s">
        <v>15</v>
      </c>
      <c r="D15" s="193" t="s">
        <v>16</v>
      </c>
      <c r="E15" s="194" t="s">
        <v>2</v>
      </c>
      <c r="F15" s="189" t="s">
        <v>10</v>
      </c>
      <c r="G15" s="190"/>
      <c r="H15" s="195"/>
      <c r="I15" s="104"/>
      <c r="J15" s="107"/>
      <c r="K15" s="107"/>
      <c r="L15" s="107"/>
      <c r="M15" s="107"/>
      <c r="N15" s="107"/>
      <c r="O15" s="107"/>
      <c r="P15" s="107"/>
      <c r="R15" s="107"/>
      <c r="T15" s="107"/>
      <c r="U15" s="107"/>
      <c r="V15" s="107"/>
      <c r="W15" s="107"/>
      <c r="X15" s="107"/>
      <c r="Y15" s="107"/>
      <c r="Z15" s="107"/>
      <c r="AA15" s="107"/>
      <c r="AB15" s="107"/>
    </row>
    <row r="16" spans="1:34" ht="15.6" x14ac:dyDescent="0.3">
      <c r="A16" s="192"/>
      <c r="B16" s="197" t="s">
        <v>120</v>
      </c>
      <c r="C16" s="152" t="s">
        <v>17</v>
      </c>
      <c r="D16" s="151">
        <v>3</v>
      </c>
      <c r="E16" s="152">
        <f>E6*2+E7+2</f>
        <v>17</v>
      </c>
      <c r="F16" s="185">
        <v>50</v>
      </c>
      <c r="G16" s="198">
        <f>D16*E16*F16</f>
        <v>2550</v>
      </c>
      <c r="H16" s="195"/>
      <c r="I16" s="104"/>
      <c r="J16" s="107"/>
      <c r="K16" s="107"/>
      <c r="L16" s="107"/>
      <c r="M16" s="107"/>
      <c r="N16" s="107"/>
      <c r="O16" s="107"/>
      <c r="P16" s="107"/>
      <c r="R16" s="107"/>
      <c r="T16" s="107"/>
      <c r="U16" s="107"/>
      <c r="V16" s="107"/>
      <c r="W16" s="107"/>
      <c r="X16" s="107"/>
      <c r="Y16" s="107"/>
      <c r="Z16" s="107"/>
      <c r="AA16" s="107"/>
      <c r="AB16" s="107"/>
    </row>
    <row r="17" spans="1:9" x14ac:dyDescent="0.3">
      <c r="A17" s="192"/>
      <c r="B17" s="197" t="s">
        <v>121</v>
      </c>
      <c r="C17" s="152" t="s">
        <v>18</v>
      </c>
      <c r="D17" s="153">
        <v>1.3</v>
      </c>
      <c r="E17" s="264">
        <v>0</v>
      </c>
      <c r="F17" s="185">
        <v>50</v>
      </c>
      <c r="G17" s="198">
        <f>D17*E17*F17</f>
        <v>0</v>
      </c>
      <c r="H17" s="195"/>
      <c r="I17" s="104"/>
    </row>
    <row r="18" spans="1:9" x14ac:dyDescent="0.3">
      <c r="A18" s="192"/>
      <c r="B18" s="197" t="s">
        <v>122</v>
      </c>
      <c r="C18" s="152" t="s">
        <v>18</v>
      </c>
      <c r="D18" s="153">
        <v>1.3</v>
      </c>
      <c r="E18" s="264">
        <v>0</v>
      </c>
      <c r="F18" s="185">
        <v>50</v>
      </c>
      <c r="G18" s="198">
        <f t="shared" ref="G18:G20" si="0">D18*E18*F18</f>
        <v>0</v>
      </c>
      <c r="H18" s="195"/>
      <c r="I18" s="104"/>
    </row>
    <row r="19" spans="1:9" ht="28.8" x14ac:dyDescent="0.3">
      <c r="A19" s="192"/>
      <c r="B19" s="197" t="s">
        <v>123</v>
      </c>
      <c r="C19" s="152" t="s">
        <v>19</v>
      </c>
      <c r="D19" s="153">
        <v>7.5</v>
      </c>
      <c r="E19" s="153">
        <f>E7</f>
        <v>12</v>
      </c>
      <c r="F19" s="185">
        <v>50</v>
      </c>
      <c r="G19" s="198">
        <f t="shared" si="0"/>
        <v>4500</v>
      </c>
      <c r="H19" s="195"/>
      <c r="I19" s="104"/>
    </row>
    <row r="20" spans="1:9" ht="28.8" x14ac:dyDescent="0.3">
      <c r="A20" s="192"/>
      <c r="B20" s="197" t="s">
        <v>124</v>
      </c>
      <c r="C20" s="152" t="s">
        <v>20</v>
      </c>
      <c r="D20" s="153">
        <v>6.25</v>
      </c>
      <c r="E20" s="260">
        <v>0</v>
      </c>
      <c r="F20" s="185">
        <v>50</v>
      </c>
      <c r="G20" s="198">
        <f t="shared" si="0"/>
        <v>0</v>
      </c>
      <c r="H20" s="195"/>
      <c r="I20" s="104"/>
    </row>
    <row r="21" spans="1:9" ht="15" customHeight="1" x14ac:dyDescent="0.3">
      <c r="A21" s="192"/>
      <c r="B21" s="201" t="s">
        <v>21</v>
      </c>
      <c r="C21" s="202"/>
      <c r="D21" s="203"/>
      <c r="E21" s="204"/>
      <c r="F21" s="205"/>
      <c r="G21" s="206">
        <f>SUM(G11:G20)</f>
        <v>419850</v>
      </c>
      <c r="H21" s="195"/>
      <c r="I21" s="104"/>
    </row>
    <row r="22" spans="1:9" ht="15" customHeight="1" x14ac:dyDescent="0.3">
      <c r="A22" s="192"/>
      <c r="B22" s="207"/>
      <c r="C22" s="208"/>
      <c r="D22" s="209"/>
      <c r="E22" s="210"/>
      <c r="F22" s="211"/>
      <c r="G22" s="212"/>
      <c r="H22" s="195"/>
      <c r="I22" s="104"/>
    </row>
    <row r="23" spans="1:9" ht="15" customHeight="1" x14ac:dyDescent="0.3">
      <c r="A23" s="192"/>
      <c r="B23" s="213" t="s">
        <v>22</v>
      </c>
      <c r="C23" s="390" t="s">
        <v>23</v>
      </c>
      <c r="D23" s="390"/>
      <c r="E23" s="390"/>
      <c r="F23" s="214">
        <v>0.1</v>
      </c>
      <c r="G23" s="215">
        <f>G21*F23</f>
        <v>41985</v>
      </c>
      <c r="H23" s="195"/>
      <c r="I23" s="104"/>
    </row>
    <row r="24" spans="1:9" ht="15" customHeight="1" x14ac:dyDescent="0.3">
      <c r="A24" s="192"/>
      <c r="B24" s="207" t="s">
        <v>24</v>
      </c>
      <c r="C24" s="208"/>
      <c r="D24" s="216"/>
      <c r="E24" s="217"/>
      <c r="F24" s="218"/>
      <c r="G24" s="212">
        <f>SUM(G21:G23)</f>
        <v>461835</v>
      </c>
      <c r="H24" s="195"/>
      <c r="I24" s="104"/>
    </row>
    <row r="25" spans="1:9" ht="15" customHeight="1" x14ac:dyDescent="0.3">
      <c r="A25" s="192"/>
      <c r="B25" s="219" t="s">
        <v>25</v>
      </c>
      <c r="C25" s="391" t="s">
        <v>23</v>
      </c>
      <c r="D25" s="391"/>
      <c r="E25" s="391"/>
      <c r="F25" s="220">
        <v>0.1</v>
      </c>
      <c r="G25" s="221">
        <f>G24*F25</f>
        <v>46183.5</v>
      </c>
      <c r="H25" s="195"/>
      <c r="I25" s="104"/>
    </row>
    <row r="26" spans="1:9" ht="15" customHeight="1" thickBot="1" x14ac:dyDescent="0.35">
      <c r="A26" s="192"/>
      <c r="B26" s="222" t="s">
        <v>21</v>
      </c>
      <c r="C26" s="223"/>
      <c r="D26" s="224"/>
      <c r="E26" s="225"/>
      <c r="F26" s="226"/>
      <c r="G26" s="227">
        <f>SUM(G24:G25)</f>
        <v>508018.5</v>
      </c>
      <c r="H26" s="195"/>
      <c r="I26" s="104"/>
    </row>
    <row r="27" spans="1:9" ht="15" customHeight="1" thickTop="1" x14ac:dyDescent="0.3">
      <c r="A27" s="192"/>
      <c r="B27" s="213" t="s">
        <v>26</v>
      </c>
      <c r="C27" s="392" t="s">
        <v>27</v>
      </c>
      <c r="D27" s="392"/>
      <c r="E27" s="392"/>
      <c r="F27" s="214">
        <v>0.25</v>
      </c>
      <c r="G27" s="228">
        <f>G26*F27</f>
        <v>127004.625</v>
      </c>
      <c r="H27" s="195"/>
      <c r="I27" s="104"/>
    </row>
    <row r="28" spans="1:9" ht="15" customHeight="1" thickBot="1" x14ac:dyDescent="0.35">
      <c r="A28" s="192"/>
      <c r="B28" s="229" t="s">
        <v>28</v>
      </c>
      <c r="C28" s="385" t="s">
        <v>86</v>
      </c>
      <c r="D28" s="385"/>
      <c r="E28" s="385"/>
      <c r="F28" s="230">
        <v>0.1</v>
      </c>
      <c r="G28" s="231">
        <f>G27*F28</f>
        <v>12700.462500000001</v>
      </c>
      <c r="H28" s="195"/>
      <c r="I28" s="104"/>
    </row>
    <row r="29" spans="1:9" ht="15" customHeight="1" thickTop="1" x14ac:dyDescent="0.3">
      <c r="A29" s="192"/>
      <c r="B29" s="232"/>
      <c r="C29" s="233"/>
      <c r="D29" s="234"/>
      <c r="E29" s="235"/>
      <c r="F29" s="182"/>
      <c r="G29" s="236"/>
      <c r="H29" s="195"/>
      <c r="I29" s="104"/>
    </row>
    <row r="30" spans="1:9" ht="15" customHeight="1" thickBot="1" x14ac:dyDescent="0.35">
      <c r="A30" s="192"/>
      <c r="B30" s="237" t="s">
        <v>30</v>
      </c>
      <c r="C30" s="238"/>
      <c r="D30" s="239"/>
      <c r="E30" s="240"/>
      <c r="F30" s="241"/>
      <c r="G30" s="242">
        <f>SUM(G26,G27,G28)</f>
        <v>647723.58750000002</v>
      </c>
      <c r="H30" s="195"/>
      <c r="I30" s="104"/>
    </row>
    <row r="31" spans="1:9" x14ac:dyDescent="0.3">
      <c r="A31" s="192"/>
      <c r="B31" s="170"/>
      <c r="C31" s="195"/>
      <c r="D31" s="195"/>
      <c r="E31" s="168"/>
      <c r="F31" s="168"/>
      <c r="G31" s="168"/>
      <c r="H31" s="195"/>
    </row>
    <row r="32" spans="1:9" x14ac:dyDescent="0.3">
      <c r="A32" s="192"/>
      <c r="B32" s="170"/>
      <c r="C32" s="195"/>
      <c r="D32" s="195"/>
      <c r="E32" s="168"/>
      <c r="F32" s="168"/>
      <c r="G32" s="168"/>
      <c r="H32" s="195"/>
    </row>
  </sheetData>
  <sheetProtection sheet="1" objects="1" scenarios="1"/>
  <mergeCells count="6">
    <mergeCell ref="C28:E28"/>
    <mergeCell ref="B2:G2"/>
    <mergeCell ref="B3:G3"/>
    <mergeCell ref="C23:E23"/>
    <mergeCell ref="C25:E25"/>
    <mergeCell ref="C27:E27"/>
  </mergeCells>
  <dataValidations count="3">
    <dataValidation allowBlank="1" showInputMessage="1" showErrorMessage="1" promptTitle="Bike Lane Ahead" prompt="Enter additional quanities for this type of sign, if desired or required." sqref="E17" xr:uid="{C436F079-7A47-4F82-AA2B-D09592A35E97}"/>
    <dataValidation allowBlank="1" showInputMessage="1" showErrorMessage="1" promptTitle="BIke Lane Ends" prompt="Enter additional quanities for this type of sign, if desired or required." sqref="E18" xr:uid="{CDB7C2ED-15DD-42EC-8A79-4D87D620A6B6}"/>
    <dataValidation allowBlank="1" showInputMessage="1" showErrorMessage="1" promptTitle="Bikes May Use Full Lane" prompt="Enter additional quanities for this type of sign, if desired or required." sqref="E20" xr:uid="{78F832B2-6473-4714-A98C-A8C3C8325C2B}"/>
  </dataValidations>
  <pageMargins left="0.25" right="0.25" top="0.75" bottom="0.75" header="0.3" footer="0.3"/>
  <pageSetup paperSize="3" scale="78" fitToHeight="0" orientation="landscape" r:id="rId1"/>
  <ignoredErrors>
    <ignoredError sqref="G2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A4282-1658-45C1-8984-DC5EB196AF1A}">
  <sheetPr>
    <pageSetUpPr fitToPage="1"/>
  </sheetPr>
  <dimension ref="A1:AH32"/>
  <sheetViews>
    <sheetView zoomScaleNormal="100" workbookViewId="0">
      <selection activeCell="E6" sqref="E6"/>
    </sheetView>
  </sheetViews>
  <sheetFormatPr defaultRowHeight="14.4" x14ac:dyDescent="0.3"/>
  <cols>
    <col min="1" max="1" width="8.6640625" style="2" customWidth="1"/>
    <col min="2" max="2" width="23.44140625" style="1" customWidth="1"/>
    <col min="3" max="3" width="13.44140625" style="4" customWidth="1"/>
    <col min="4" max="4" width="8.6640625" style="4" customWidth="1"/>
    <col min="5" max="5" width="12.33203125" style="3" customWidth="1"/>
    <col min="6" max="7" width="12" style="3" customWidth="1"/>
    <col min="8" max="8" width="13.88671875" style="4" customWidth="1"/>
    <col min="9" max="9" width="28.109375" style="5" customWidth="1"/>
    <col min="10" max="10" width="12.6640625" style="5" customWidth="1"/>
    <col min="11" max="11" width="14" style="5" customWidth="1"/>
    <col min="12" max="16" width="12.6640625" style="5" customWidth="1"/>
    <col min="17" max="17" width="14.44140625" style="3" bestFit="1" customWidth="1"/>
    <col min="18" max="18" width="12.6640625" style="5" customWidth="1"/>
    <col min="19" max="19" width="10.5546875" style="3" customWidth="1"/>
    <col min="20" max="23" width="12.6640625" style="5" customWidth="1"/>
    <col min="24" max="24" width="14.33203125" style="5" customWidth="1"/>
    <col min="25" max="26" width="12.6640625" style="5" customWidth="1"/>
    <col min="27" max="27" width="15.33203125" style="5" customWidth="1"/>
    <col min="28" max="28" width="12.6640625" style="5" customWidth="1"/>
    <col min="29" max="29" width="12.6640625" style="6" customWidth="1"/>
    <col min="30" max="30" width="23" style="1" customWidth="1"/>
    <col min="32" max="32" width="9.5546875" bestFit="1" customWidth="1"/>
    <col min="33" max="33" width="11.6640625" bestFit="1" customWidth="1"/>
  </cols>
  <sheetData>
    <row r="1" spans="1:34" ht="15" thickBot="1" x14ac:dyDescent="0.35">
      <c r="A1" s="154"/>
      <c r="B1" s="155"/>
      <c r="C1" s="156"/>
      <c r="D1" s="157"/>
      <c r="E1" s="158"/>
      <c r="F1" s="158"/>
      <c r="G1" s="158"/>
      <c r="H1" s="156"/>
      <c r="I1" s="11"/>
      <c r="J1" s="22"/>
      <c r="K1" s="22"/>
      <c r="L1" s="11"/>
      <c r="M1" s="11"/>
      <c r="N1" s="22"/>
      <c r="O1" s="11"/>
      <c r="P1" s="11"/>
      <c r="Q1" s="9"/>
      <c r="R1" s="11"/>
      <c r="S1" s="9"/>
      <c r="T1" s="11"/>
      <c r="U1" s="11"/>
      <c r="V1" s="11"/>
      <c r="W1" s="11"/>
      <c r="X1" s="11"/>
      <c r="Y1" s="11"/>
      <c r="Z1" s="11"/>
      <c r="AA1" s="11"/>
      <c r="AB1" s="11"/>
      <c r="AC1" s="21"/>
      <c r="AD1" s="19"/>
      <c r="AF1" s="13"/>
      <c r="AG1" s="12"/>
    </row>
    <row r="2" spans="1:34" ht="57.6" x14ac:dyDescent="0.3">
      <c r="A2" s="166"/>
      <c r="B2" s="386" t="s">
        <v>38</v>
      </c>
      <c r="C2" s="387"/>
      <c r="D2" s="387"/>
      <c r="E2" s="387"/>
      <c r="F2" s="387"/>
      <c r="G2" s="388"/>
      <c r="H2" s="166"/>
      <c r="I2" s="262" t="s">
        <v>160</v>
      </c>
      <c r="J2" s="107"/>
      <c r="K2" s="107"/>
      <c r="L2" s="107"/>
      <c r="M2" s="107"/>
      <c r="N2" s="107"/>
      <c r="O2" s="107"/>
      <c r="P2" s="107"/>
      <c r="R2" s="107"/>
      <c r="T2" s="107"/>
      <c r="U2" s="107"/>
      <c r="V2" s="107"/>
      <c r="W2" s="107"/>
      <c r="X2" s="107"/>
      <c r="Y2" s="107"/>
      <c r="Z2" s="107"/>
      <c r="AA2" s="107"/>
      <c r="AB2" s="107"/>
    </row>
    <row r="3" spans="1:34" s="5" customFormat="1" ht="15.75" customHeight="1" thickBot="1" x14ac:dyDescent="0.35">
      <c r="A3" s="166"/>
      <c r="B3" s="389" t="s">
        <v>128</v>
      </c>
      <c r="C3" s="389"/>
      <c r="D3" s="389"/>
      <c r="E3" s="389"/>
      <c r="F3" s="389"/>
      <c r="G3" s="389"/>
      <c r="H3" s="166"/>
      <c r="I3" s="14"/>
      <c r="J3" s="107"/>
      <c r="K3" s="107"/>
      <c r="L3" s="107"/>
      <c r="M3" s="107"/>
      <c r="N3" s="107"/>
      <c r="O3" s="107"/>
      <c r="P3" s="107"/>
      <c r="Q3" s="3"/>
      <c r="R3" s="107"/>
      <c r="S3" s="3"/>
      <c r="T3" s="107"/>
      <c r="U3" s="107"/>
      <c r="V3" s="107"/>
      <c r="W3" s="107"/>
      <c r="X3" s="107"/>
      <c r="Y3" s="107"/>
      <c r="Z3" s="107"/>
      <c r="AA3" s="107"/>
      <c r="AB3" s="107"/>
      <c r="AC3" s="6"/>
      <c r="AD3" s="1"/>
      <c r="AE3"/>
      <c r="AF3"/>
      <c r="AG3"/>
      <c r="AH3"/>
    </row>
    <row r="4" spans="1:34" s="5" customFormat="1" x14ac:dyDescent="0.3">
      <c r="A4" s="166"/>
      <c r="B4" s="171" t="s">
        <v>1</v>
      </c>
      <c r="C4" s="172"/>
      <c r="D4" s="172"/>
      <c r="E4" s="173" t="s">
        <v>2</v>
      </c>
      <c r="F4" s="174"/>
      <c r="G4" s="175"/>
      <c r="H4" s="166"/>
      <c r="I4" s="14"/>
      <c r="J4" s="107"/>
      <c r="K4" s="107"/>
      <c r="L4" s="107"/>
      <c r="M4" s="107"/>
      <c r="N4" s="107"/>
      <c r="O4" s="107"/>
      <c r="P4" s="107"/>
      <c r="Q4" s="3"/>
      <c r="R4" s="107"/>
      <c r="S4" s="3"/>
      <c r="T4" s="107"/>
      <c r="U4" s="107"/>
      <c r="V4" s="107"/>
      <c r="W4" s="107"/>
      <c r="X4" s="107"/>
      <c r="Y4" s="107"/>
      <c r="Z4" s="107"/>
      <c r="AA4" s="107"/>
      <c r="AB4" s="107"/>
      <c r="AC4" s="6"/>
      <c r="AD4" s="1"/>
      <c r="AE4"/>
      <c r="AF4"/>
      <c r="AG4"/>
      <c r="AH4"/>
    </row>
    <row r="5" spans="1:34" s="5" customFormat="1" ht="19.2" customHeight="1" x14ac:dyDescent="0.3">
      <c r="A5" s="166"/>
      <c r="B5" s="176" t="s">
        <v>3</v>
      </c>
      <c r="C5" s="177" t="s">
        <v>4</v>
      </c>
      <c r="D5" s="178"/>
      <c r="E5" s="151">
        <f>E6*5280</f>
        <v>7920</v>
      </c>
      <c r="F5" s="177"/>
      <c r="G5" s="179"/>
      <c r="H5" s="166"/>
      <c r="I5" s="14"/>
      <c r="J5" s="107"/>
      <c r="K5" s="107"/>
      <c r="L5" s="107"/>
      <c r="M5" s="107"/>
      <c r="N5" s="107"/>
      <c r="O5" s="107"/>
      <c r="P5" s="107"/>
      <c r="Q5" s="3"/>
      <c r="R5" s="107"/>
      <c r="S5" s="3"/>
      <c r="T5" s="107"/>
      <c r="U5" s="107"/>
      <c r="V5" s="107"/>
      <c r="W5" s="107"/>
      <c r="X5" s="107"/>
      <c r="Y5" s="107"/>
      <c r="Z5" s="107"/>
      <c r="AA5" s="107"/>
      <c r="AB5" s="107"/>
      <c r="AC5" s="6"/>
      <c r="AD5" s="1"/>
      <c r="AE5"/>
      <c r="AF5"/>
      <c r="AG5"/>
      <c r="AH5"/>
    </row>
    <row r="6" spans="1:34" s="5" customFormat="1" ht="15.6" x14ac:dyDescent="0.3">
      <c r="A6" s="166"/>
      <c r="B6" s="176" t="s">
        <v>3</v>
      </c>
      <c r="C6" s="177" t="s">
        <v>5</v>
      </c>
      <c r="D6" s="178"/>
      <c r="E6" s="258">
        <v>1.5</v>
      </c>
      <c r="F6" s="177"/>
      <c r="G6" s="179"/>
      <c r="H6" s="166"/>
      <c r="I6" s="14"/>
      <c r="J6" s="107"/>
      <c r="K6" s="107"/>
      <c r="L6" s="107"/>
      <c r="M6" s="107"/>
      <c r="N6" s="107"/>
      <c r="O6" s="107"/>
      <c r="P6" s="107"/>
      <c r="Q6" s="3"/>
      <c r="R6" s="107"/>
      <c r="S6" s="3"/>
      <c r="T6" s="107"/>
      <c r="U6" s="107"/>
      <c r="V6" s="107"/>
      <c r="W6" s="107"/>
      <c r="X6" s="107"/>
      <c r="Y6" s="107"/>
      <c r="Z6" s="107"/>
      <c r="AA6" s="107"/>
      <c r="AB6" s="107"/>
      <c r="AC6" s="6"/>
      <c r="AD6" s="1"/>
      <c r="AE6"/>
      <c r="AF6"/>
      <c r="AG6"/>
      <c r="AH6"/>
    </row>
    <row r="7" spans="1:34" s="5" customFormat="1" ht="15.6" x14ac:dyDescent="0.3">
      <c r="A7" s="166"/>
      <c r="B7" s="180" t="s">
        <v>6</v>
      </c>
      <c r="C7" s="181" t="s">
        <v>7</v>
      </c>
      <c r="D7" s="178"/>
      <c r="E7" s="259">
        <v>12</v>
      </c>
      <c r="F7" s="182"/>
      <c r="G7" s="179"/>
      <c r="H7" s="166"/>
      <c r="I7" s="14"/>
      <c r="J7" s="107"/>
      <c r="K7" s="107"/>
      <c r="L7" s="107"/>
      <c r="M7" s="107"/>
      <c r="N7" s="107"/>
      <c r="O7" s="107"/>
      <c r="P7" s="107"/>
      <c r="Q7" s="3"/>
      <c r="R7" s="107"/>
      <c r="S7" s="3"/>
      <c r="T7" s="107"/>
      <c r="U7" s="107"/>
      <c r="V7" s="107"/>
      <c r="W7" s="107"/>
      <c r="X7" s="107"/>
      <c r="Y7" s="107"/>
      <c r="Z7" s="107"/>
      <c r="AA7" s="107"/>
      <c r="AB7" s="107"/>
      <c r="AC7" s="6"/>
      <c r="AD7" s="1"/>
      <c r="AE7"/>
      <c r="AF7"/>
      <c r="AG7"/>
      <c r="AH7"/>
    </row>
    <row r="8" spans="1:34" s="5" customFormat="1" ht="14.4" customHeight="1" x14ac:dyDescent="0.3">
      <c r="A8" s="166"/>
      <c r="B8" s="183" t="s">
        <v>8</v>
      </c>
      <c r="C8" s="184" t="s">
        <v>4</v>
      </c>
      <c r="D8" s="178"/>
      <c r="E8" s="259">
        <v>40</v>
      </c>
      <c r="F8" s="182"/>
      <c r="G8" s="179"/>
      <c r="H8" s="166"/>
      <c r="I8" s="14"/>
      <c r="J8" s="107"/>
      <c r="K8" s="107"/>
      <c r="L8" s="107"/>
      <c r="M8" s="107"/>
      <c r="N8" s="107"/>
      <c r="O8" s="107"/>
      <c r="P8" s="107"/>
      <c r="Q8" s="3"/>
      <c r="R8" s="107"/>
      <c r="S8" s="3"/>
      <c r="T8" s="107"/>
      <c r="U8" s="107"/>
      <c r="V8" s="107"/>
      <c r="W8" s="107"/>
      <c r="X8" s="107"/>
      <c r="Y8" s="107"/>
      <c r="Z8" s="107"/>
      <c r="AA8" s="107"/>
      <c r="AB8" s="107"/>
      <c r="AC8" s="6"/>
      <c r="AD8" s="1"/>
      <c r="AE8"/>
      <c r="AF8"/>
      <c r="AG8"/>
      <c r="AH8"/>
    </row>
    <row r="9" spans="1:34" s="5" customFormat="1" ht="15.6" x14ac:dyDescent="0.3">
      <c r="A9" s="166"/>
      <c r="B9" s="183"/>
      <c r="C9" s="184"/>
      <c r="D9" s="178"/>
      <c r="E9" s="151"/>
      <c r="F9" s="185"/>
      <c r="G9" s="179"/>
      <c r="H9" s="166"/>
      <c r="I9" s="14"/>
      <c r="J9" s="107"/>
      <c r="K9" s="107"/>
      <c r="L9" s="107"/>
      <c r="M9" s="107"/>
      <c r="N9" s="107"/>
      <c r="O9" s="107"/>
      <c r="P9" s="107"/>
      <c r="Q9" s="3"/>
      <c r="R9" s="107"/>
      <c r="S9" s="3"/>
      <c r="T9" s="107"/>
      <c r="U9" s="107"/>
      <c r="V9" s="107"/>
      <c r="W9" s="107"/>
      <c r="X9" s="107"/>
      <c r="Y9" s="107"/>
      <c r="Z9" s="107"/>
      <c r="AA9" s="107"/>
      <c r="AB9" s="107"/>
      <c r="AC9" s="6"/>
      <c r="AD9" s="1"/>
      <c r="AE9"/>
      <c r="AF9"/>
      <c r="AG9"/>
      <c r="AH9"/>
    </row>
    <row r="10" spans="1:34" s="5" customFormat="1" x14ac:dyDescent="0.3">
      <c r="A10" s="166"/>
      <c r="B10" s="186" t="s">
        <v>9</v>
      </c>
      <c r="C10" s="187"/>
      <c r="D10" s="188"/>
      <c r="E10" s="187" t="s">
        <v>2</v>
      </c>
      <c r="F10" s="189" t="s">
        <v>10</v>
      </c>
      <c r="G10" s="190"/>
      <c r="H10" s="166"/>
      <c r="I10" s="14"/>
      <c r="J10" s="107"/>
      <c r="K10" s="107"/>
      <c r="L10" s="107"/>
      <c r="M10" s="107"/>
      <c r="N10" s="107"/>
      <c r="O10" s="107"/>
      <c r="P10" s="107"/>
      <c r="Q10" s="3"/>
      <c r="R10" s="107"/>
      <c r="S10" s="3"/>
      <c r="T10" s="107"/>
      <c r="U10" s="107"/>
      <c r="V10" s="107"/>
      <c r="W10" s="107"/>
      <c r="X10" s="107"/>
      <c r="Y10" s="107"/>
      <c r="Z10" s="107"/>
      <c r="AA10" s="107"/>
      <c r="AB10" s="107"/>
      <c r="AC10" s="6"/>
      <c r="AD10" s="1"/>
      <c r="AE10"/>
      <c r="AF10"/>
      <c r="AG10"/>
      <c r="AH10"/>
    </row>
    <row r="11" spans="1:34" s="5" customFormat="1" ht="15.6" x14ac:dyDescent="0.3">
      <c r="A11" s="166"/>
      <c r="B11" s="183" t="s">
        <v>33</v>
      </c>
      <c r="C11" s="184" t="s">
        <v>7</v>
      </c>
      <c r="D11" s="178"/>
      <c r="E11" s="151">
        <f>E5*2/300+E7</f>
        <v>64.8</v>
      </c>
      <c r="F11" s="185">
        <v>500</v>
      </c>
      <c r="G11" s="179">
        <f>E11*F11</f>
        <v>32400</v>
      </c>
      <c r="H11" s="166"/>
      <c r="I11" s="14"/>
      <c r="J11" s="107"/>
      <c r="K11" s="107"/>
      <c r="L11" s="107"/>
      <c r="M11" s="107"/>
      <c r="N11" s="107"/>
      <c r="O11" s="107"/>
      <c r="P11" s="107"/>
      <c r="Q11" s="3"/>
      <c r="R11" s="107"/>
      <c r="S11" s="3"/>
      <c r="T11" s="107"/>
      <c r="U11" s="107"/>
      <c r="V11" s="107"/>
      <c r="W11" s="107"/>
      <c r="X11" s="107"/>
      <c r="Y11" s="107"/>
      <c r="Z11" s="107"/>
      <c r="AA11" s="107"/>
      <c r="AB11" s="107"/>
      <c r="AC11" s="6"/>
      <c r="AD11" s="1"/>
      <c r="AE11"/>
      <c r="AF11"/>
      <c r="AG11"/>
      <c r="AH11"/>
    </row>
    <row r="12" spans="1:34" s="5" customFormat="1" ht="28.8" x14ac:dyDescent="0.3">
      <c r="A12" s="166"/>
      <c r="B12" s="191" t="s">
        <v>12</v>
      </c>
      <c r="C12" s="184" t="s">
        <v>4</v>
      </c>
      <c r="D12" s="178"/>
      <c r="E12" s="151">
        <f>E5*4-(E7*E8)</f>
        <v>31200</v>
      </c>
      <c r="F12" s="185">
        <v>20</v>
      </c>
      <c r="G12" s="179">
        <f>E12*F12</f>
        <v>624000</v>
      </c>
      <c r="H12" s="166"/>
      <c r="I12" s="14"/>
      <c r="J12" s="107"/>
      <c r="K12" s="107"/>
      <c r="L12" s="107"/>
      <c r="M12" s="107"/>
      <c r="N12" s="107"/>
      <c r="O12" s="107"/>
      <c r="P12" s="107"/>
      <c r="Q12" s="3"/>
      <c r="R12" s="107"/>
      <c r="S12" s="3"/>
      <c r="T12" s="107"/>
      <c r="U12" s="107"/>
      <c r="V12" s="107"/>
      <c r="W12" s="107"/>
      <c r="X12" s="107"/>
      <c r="Y12" s="107"/>
      <c r="Z12" s="107"/>
      <c r="AA12" s="107"/>
      <c r="AB12" s="107"/>
      <c r="AC12" s="6"/>
      <c r="AD12" s="1"/>
      <c r="AE12"/>
      <c r="AF12"/>
      <c r="AG12"/>
      <c r="AH12"/>
    </row>
    <row r="13" spans="1:34" s="5" customFormat="1" ht="28.8" x14ac:dyDescent="0.3">
      <c r="A13" s="166"/>
      <c r="B13" s="191" t="s">
        <v>13</v>
      </c>
      <c r="C13" s="184" t="s">
        <v>4</v>
      </c>
      <c r="D13" s="151"/>
      <c r="E13" s="260">
        <v>0</v>
      </c>
      <c r="F13" s="185">
        <v>20</v>
      </c>
      <c r="G13" s="179">
        <f>E13*F13</f>
        <v>0</v>
      </c>
      <c r="H13" s="166"/>
      <c r="I13" s="14"/>
      <c r="J13" s="107"/>
      <c r="K13" s="107"/>
      <c r="L13" s="107"/>
      <c r="M13" s="107"/>
      <c r="N13" s="107"/>
      <c r="O13" s="107"/>
      <c r="P13" s="107"/>
      <c r="Q13" s="3"/>
      <c r="R13" s="107"/>
      <c r="S13" s="3"/>
      <c r="T13" s="107"/>
      <c r="U13" s="107"/>
      <c r="V13" s="107"/>
      <c r="W13" s="107"/>
      <c r="X13" s="107"/>
      <c r="Y13" s="107"/>
      <c r="Z13" s="107"/>
      <c r="AA13" s="107"/>
      <c r="AB13" s="107"/>
      <c r="AC13" s="6"/>
      <c r="AD13" s="1"/>
      <c r="AE13"/>
      <c r="AF13"/>
      <c r="AG13"/>
      <c r="AH13"/>
    </row>
    <row r="14" spans="1:34" s="5" customFormat="1" ht="15.6" x14ac:dyDescent="0.3">
      <c r="A14" s="166"/>
      <c r="B14" s="191" t="s">
        <v>34</v>
      </c>
      <c r="C14" s="184" t="s">
        <v>35</v>
      </c>
      <c r="D14" s="151"/>
      <c r="E14" s="279">
        <f>((E8+20)*E7)*12</f>
        <v>8640</v>
      </c>
      <c r="F14" s="185">
        <v>20</v>
      </c>
      <c r="G14" s="179">
        <f>E14*F14</f>
        <v>172800</v>
      </c>
      <c r="H14" s="166"/>
      <c r="I14" s="14"/>
      <c r="J14" s="107"/>
      <c r="K14" s="107"/>
      <c r="L14" s="107"/>
      <c r="M14" s="107"/>
      <c r="N14" s="107"/>
      <c r="O14" s="107"/>
      <c r="P14" s="107"/>
      <c r="Q14" s="3"/>
      <c r="R14" s="107"/>
      <c r="S14" s="3"/>
      <c r="T14" s="107"/>
      <c r="U14" s="107"/>
      <c r="V14" s="107"/>
      <c r="W14" s="107"/>
      <c r="X14" s="107"/>
      <c r="Y14" s="107"/>
      <c r="Z14" s="107"/>
      <c r="AA14" s="107"/>
      <c r="AB14" s="107"/>
      <c r="AC14" s="6"/>
      <c r="AD14" s="1"/>
      <c r="AE14"/>
      <c r="AF14"/>
      <c r="AG14"/>
      <c r="AH14"/>
    </row>
    <row r="15" spans="1:34" ht="28.8" x14ac:dyDescent="0.3">
      <c r="A15" s="192"/>
      <c r="B15" s="186" t="s">
        <v>14</v>
      </c>
      <c r="C15" s="187" t="s">
        <v>15</v>
      </c>
      <c r="D15" s="193" t="s">
        <v>16</v>
      </c>
      <c r="E15" s="194" t="s">
        <v>2</v>
      </c>
      <c r="F15" s="189" t="s">
        <v>10</v>
      </c>
      <c r="G15" s="190"/>
      <c r="H15" s="195"/>
      <c r="I15" s="107"/>
      <c r="J15" s="107"/>
      <c r="K15" s="107"/>
      <c r="L15" s="107"/>
      <c r="M15" s="107"/>
      <c r="N15" s="107"/>
      <c r="O15" s="107"/>
      <c r="P15" s="107"/>
      <c r="R15" s="107"/>
      <c r="T15" s="107"/>
      <c r="U15" s="107"/>
      <c r="V15" s="107"/>
      <c r="W15" s="107"/>
      <c r="X15" s="107"/>
      <c r="Y15" s="107"/>
      <c r="Z15" s="107"/>
      <c r="AA15" s="107"/>
      <c r="AB15" s="107"/>
    </row>
    <row r="16" spans="1:34" ht="15.6" x14ac:dyDescent="0.3">
      <c r="A16" s="192"/>
      <c r="B16" s="197" t="s">
        <v>120</v>
      </c>
      <c r="C16" s="152" t="s">
        <v>17</v>
      </c>
      <c r="D16" s="151">
        <v>3</v>
      </c>
      <c r="E16" s="152">
        <f>E6*4+E7+2</f>
        <v>20</v>
      </c>
      <c r="F16" s="185">
        <v>50</v>
      </c>
      <c r="G16" s="198">
        <f>D16*E16*F16</f>
        <v>3000</v>
      </c>
      <c r="H16" s="195"/>
      <c r="I16" s="107"/>
      <c r="J16" s="107"/>
      <c r="K16" s="107"/>
      <c r="L16" s="107"/>
      <c r="M16" s="107"/>
      <c r="N16" s="107"/>
      <c r="O16" s="107"/>
      <c r="P16" s="107"/>
      <c r="R16" s="107"/>
      <c r="T16" s="107"/>
      <c r="U16" s="107"/>
      <c r="V16" s="107"/>
      <c r="W16" s="107"/>
      <c r="X16" s="107"/>
      <c r="Y16" s="107"/>
      <c r="Z16" s="107"/>
      <c r="AA16" s="107"/>
      <c r="AB16" s="107"/>
    </row>
    <row r="17" spans="1:8" x14ac:dyDescent="0.3">
      <c r="A17" s="192"/>
      <c r="B17" s="197" t="s">
        <v>121</v>
      </c>
      <c r="C17" s="152" t="s">
        <v>18</v>
      </c>
      <c r="D17" s="153">
        <v>1.3</v>
      </c>
      <c r="E17" s="264">
        <v>0</v>
      </c>
      <c r="F17" s="185">
        <v>50</v>
      </c>
      <c r="G17" s="198">
        <f>D17*E17*F17</f>
        <v>0</v>
      </c>
      <c r="H17" s="195"/>
    </row>
    <row r="18" spans="1:8" x14ac:dyDescent="0.3">
      <c r="A18" s="192"/>
      <c r="B18" s="197" t="s">
        <v>122</v>
      </c>
      <c r="C18" s="152" t="s">
        <v>18</v>
      </c>
      <c r="D18" s="153">
        <v>1.3</v>
      </c>
      <c r="E18" s="264">
        <v>0</v>
      </c>
      <c r="F18" s="185">
        <v>50</v>
      </c>
      <c r="G18" s="198">
        <f t="shared" ref="G18:G20" si="0">D18*E18*F18</f>
        <v>0</v>
      </c>
      <c r="H18" s="195"/>
    </row>
    <row r="19" spans="1:8" ht="28.8" x14ac:dyDescent="0.3">
      <c r="A19" s="192"/>
      <c r="B19" s="197" t="s">
        <v>123</v>
      </c>
      <c r="C19" s="152" t="s">
        <v>19</v>
      </c>
      <c r="D19" s="153">
        <v>7.5</v>
      </c>
      <c r="E19" s="153">
        <f>E7*2</f>
        <v>24</v>
      </c>
      <c r="F19" s="185">
        <v>50</v>
      </c>
      <c r="G19" s="198">
        <f t="shared" si="0"/>
        <v>9000</v>
      </c>
      <c r="H19" s="195"/>
    </row>
    <row r="20" spans="1:8" ht="28.8" x14ac:dyDescent="0.3">
      <c r="A20" s="192"/>
      <c r="B20" s="197" t="s">
        <v>124</v>
      </c>
      <c r="C20" s="152" t="s">
        <v>20</v>
      </c>
      <c r="D20" s="153">
        <v>6.25</v>
      </c>
      <c r="E20" s="260">
        <v>0</v>
      </c>
      <c r="F20" s="185">
        <v>50</v>
      </c>
      <c r="G20" s="198">
        <f t="shared" si="0"/>
        <v>0</v>
      </c>
      <c r="H20" s="195"/>
    </row>
    <row r="21" spans="1:8" ht="15" customHeight="1" x14ac:dyDescent="0.3">
      <c r="A21" s="192"/>
      <c r="B21" s="201" t="s">
        <v>21</v>
      </c>
      <c r="C21" s="202"/>
      <c r="D21" s="203"/>
      <c r="E21" s="204"/>
      <c r="F21" s="205"/>
      <c r="G21" s="206">
        <f>SUM(G11:G20)</f>
        <v>841200</v>
      </c>
      <c r="H21" s="195"/>
    </row>
    <row r="22" spans="1:8" ht="15" customHeight="1" x14ac:dyDescent="0.3">
      <c r="A22" s="192"/>
      <c r="B22" s="207"/>
      <c r="C22" s="208"/>
      <c r="D22" s="209"/>
      <c r="E22" s="210"/>
      <c r="F22" s="211"/>
      <c r="G22" s="212"/>
      <c r="H22" s="195"/>
    </row>
    <row r="23" spans="1:8" ht="15" customHeight="1" x14ac:dyDescent="0.3">
      <c r="A23" s="192"/>
      <c r="B23" s="213" t="s">
        <v>22</v>
      </c>
      <c r="C23" s="390" t="s">
        <v>23</v>
      </c>
      <c r="D23" s="390"/>
      <c r="E23" s="390"/>
      <c r="F23" s="214">
        <v>0.1</v>
      </c>
      <c r="G23" s="215">
        <f>G21*F23</f>
        <v>84120</v>
      </c>
      <c r="H23" s="195"/>
    </row>
    <row r="24" spans="1:8" ht="15" customHeight="1" x14ac:dyDescent="0.3">
      <c r="A24" s="192"/>
      <c r="B24" s="207" t="s">
        <v>24</v>
      </c>
      <c r="C24" s="208"/>
      <c r="D24" s="216"/>
      <c r="E24" s="217"/>
      <c r="F24" s="218"/>
      <c r="G24" s="212">
        <f>SUM(G21:G23)</f>
        <v>925320</v>
      </c>
      <c r="H24" s="195"/>
    </row>
    <row r="25" spans="1:8" ht="15" customHeight="1" x14ac:dyDescent="0.3">
      <c r="A25" s="192"/>
      <c r="B25" s="219" t="s">
        <v>25</v>
      </c>
      <c r="C25" s="391" t="s">
        <v>23</v>
      </c>
      <c r="D25" s="391"/>
      <c r="E25" s="391"/>
      <c r="F25" s="220">
        <v>0.1</v>
      </c>
      <c r="G25" s="221">
        <f>G24*F25</f>
        <v>92532</v>
      </c>
      <c r="H25" s="195"/>
    </row>
    <row r="26" spans="1:8" ht="15" customHeight="1" thickBot="1" x14ac:dyDescent="0.35">
      <c r="A26" s="192"/>
      <c r="B26" s="222" t="s">
        <v>21</v>
      </c>
      <c r="C26" s="223"/>
      <c r="D26" s="224"/>
      <c r="E26" s="225"/>
      <c r="F26" s="226"/>
      <c r="G26" s="227">
        <f>SUM(G24:G25)</f>
        <v>1017852</v>
      </c>
      <c r="H26" s="195"/>
    </row>
    <row r="27" spans="1:8" ht="15" customHeight="1" thickTop="1" x14ac:dyDescent="0.3">
      <c r="A27" s="192"/>
      <c r="B27" s="213" t="s">
        <v>26</v>
      </c>
      <c r="C27" s="392" t="s">
        <v>27</v>
      </c>
      <c r="D27" s="392"/>
      <c r="E27" s="392"/>
      <c r="F27" s="214">
        <v>0.25</v>
      </c>
      <c r="G27" s="228">
        <f>G26*F27</f>
        <v>254463</v>
      </c>
      <c r="H27" s="195"/>
    </row>
    <row r="28" spans="1:8" ht="29.4" customHeight="1" thickBot="1" x14ac:dyDescent="0.35">
      <c r="A28" s="192"/>
      <c r="B28" s="229" t="s">
        <v>28</v>
      </c>
      <c r="C28" s="385" t="s">
        <v>86</v>
      </c>
      <c r="D28" s="385"/>
      <c r="E28" s="385"/>
      <c r="F28" s="230">
        <v>0.1</v>
      </c>
      <c r="G28" s="231">
        <f>G27*F28</f>
        <v>25446.300000000003</v>
      </c>
      <c r="H28" s="195"/>
    </row>
    <row r="29" spans="1:8" ht="15" customHeight="1" thickTop="1" x14ac:dyDescent="0.3">
      <c r="A29" s="192"/>
      <c r="B29" s="232"/>
      <c r="C29" s="233"/>
      <c r="D29" s="234"/>
      <c r="E29" s="235"/>
      <c r="F29" s="182"/>
      <c r="G29" s="236"/>
      <c r="H29" s="195"/>
    </row>
    <row r="30" spans="1:8" ht="15" customHeight="1" thickBot="1" x14ac:dyDescent="0.35">
      <c r="A30" s="192"/>
      <c r="B30" s="237" t="s">
        <v>30</v>
      </c>
      <c r="C30" s="238"/>
      <c r="D30" s="239"/>
      <c r="E30" s="240"/>
      <c r="F30" s="241"/>
      <c r="G30" s="242">
        <f>SUM(G26,G27,G28)</f>
        <v>1297761.3</v>
      </c>
      <c r="H30" s="195"/>
    </row>
    <row r="31" spans="1:8" x14ac:dyDescent="0.3">
      <c r="A31" s="192"/>
      <c r="B31" s="170"/>
      <c r="C31" s="195"/>
      <c r="D31" s="195"/>
      <c r="E31" s="168"/>
      <c r="F31" s="168"/>
      <c r="G31" s="168"/>
      <c r="H31" s="195"/>
    </row>
    <row r="32" spans="1:8" x14ac:dyDescent="0.3">
      <c r="A32" s="192"/>
      <c r="B32" s="170"/>
      <c r="C32" s="195"/>
      <c r="D32" s="195"/>
      <c r="E32" s="168"/>
      <c r="F32" s="168"/>
      <c r="G32" s="168"/>
      <c r="H32" s="195"/>
    </row>
  </sheetData>
  <sheetProtection sheet="1" objects="1" scenarios="1"/>
  <mergeCells count="6">
    <mergeCell ref="C28:E28"/>
    <mergeCell ref="B2:G2"/>
    <mergeCell ref="B3:G3"/>
    <mergeCell ref="C23:E23"/>
    <mergeCell ref="C25:E25"/>
    <mergeCell ref="C27:E27"/>
  </mergeCells>
  <dataValidations count="3">
    <dataValidation allowBlank="1" showInputMessage="1" showErrorMessage="1" promptTitle="Bike Lane Ahead" prompt="Enter additional quanities for this type of sign, if desired or required." sqref="E17" xr:uid="{4B2A3104-6767-4A7A-A01A-BB12C3C3D35E}"/>
    <dataValidation allowBlank="1" showInputMessage="1" showErrorMessage="1" promptTitle="Bike Lane Ends" prompt="Enter additional quanities for this type of sign, if desired or required." sqref="E18" xr:uid="{22882158-7DF8-4A19-80C9-0926675C9E1E}"/>
    <dataValidation allowBlank="1" showInputMessage="1" showErrorMessage="1" promptTitle="Bikes May Use Full Lane" prompt="Enter additional quanities for this type of sign, if desired or required." sqref="E20" xr:uid="{2AD7314D-0F29-4B99-9689-FAA33CDBD740}"/>
  </dataValidations>
  <pageMargins left="0.25" right="0.25" top="0.75" bottom="0.75" header="0.3" footer="0.3"/>
  <pageSetup paperSize="3" scale="78" fitToHeight="0" orientation="landscape" r:id="rId1"/>
  <ignoredErrors>
    <ignoredError sqref="G2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3a04c534-3d27-4f18-8a25-09613d387b19">Commuter Choice</Category>
    <Sub_x002d_Category xmlns="3a04c534-3d27-4f18-8a25-09613d387b19">Bikeways</Sub_x002d_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2E59E43900A041AB301E9C6F8ACD76" ma:contentTypeVersion="3" ma:contentTypeDescription="Create a new document." ma:contentTypeScope="" ma:versionID="ff2ba04adab6319bc92f70e486fa425d">
  <xsd:schema xmlns:xsd="http://www.w3.org/2001/XMLSchema" xmlns:xs="http://www.w3.org/2001/XMLSchema" xmlns:p="http://schemas.microsoft.com/office/2006/metadata/properties" xmlns:ns2="3a04c534-3d27-4f18-8a25-09613d387b19" xmlns:ns3="3f919f12-12a8-48ea-bd7d-1fbdce651874" targetNamespace="http://schemas.microsoft.com/office/2006/metadata/properties" ma:root="true" ma:fieldsID="d84cb0d3b678567188803c734be27a6b" ns2:_="" ns3:_="">
    <xsd:import namespace="3a04c534-3d27-4f18-8a25-09613d387b19"/>
    <xsd:import namespace="3f919f12-12a8-48ea-bd7d-1fbdce651874"/>
    <xsd:element name="properties">
      <xsd:complexType>
        <xsd:sequence>
          <xsd:element name="documentManagement">
            <xsd:complexType>
              <xsd:all>
                <xsd:element ref="ns2:Category" minOccurs="0"/>
                <xsd:element ref="ns3:SharedWithUsers" minOccurs="0"/>
                <xsd:element ref="ns2:Sub_x002d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4c534-3d27-4f18-8a25-09613d387b19" elementFormDefault="qualified">
    <xsd:import namespace="http://schemas.microsoft.com/office/2006/documentManagement/types"/>
    <xsd:import namespace="http://schemas.microsoft.com/office/infopath/2007/PartnerControls"/>
    <xsd:element name="Category" ma:index="8" nillable="true" ma:displayName="Category" ma:format="Dropdown" ma:indexed="true" ma:internalName="Category">
      <xsd:simpleType>
        <xsd:restriction base="dms:Choice">
          <xsd:enumeration value="Home"/>
          <xsd:enumeration value="Long-Range Planning"/>
          <xsd:enumeration value="Regional Planning"/>
          <xsd:enumeration value="Capital Programming"/>
          <xsd:enumeration value="Commuter Choice"/>
          <xsd:enumeration value="Freight"/>
          <xsd:enumeration value="Bike/Walk"/>
          <xsd:enumeration value="Environmental"/>
          <xsd:enumeration value="Emerging Technologies"/>
          <xsd:enumeration value="Maryland Attainment Report"/>
          <xsd:enumeration value="Grants"/>
        </xsd:restriction>
      </xsd:simpleType>
    </xsd:element>
    <xsd:element name="Sub_x002d_Category" ma:index="10" nillable="true" ma:displayName="Sub-Category" ma:format="Dropdown" ma:internalName="Sub_x002d_Category">
      <xsd:simpleType>
        <xsd:restriction base="dms:Choice">
          <xsd:enumeration value="For Employers"/>
          <xsd:enumeration value="For Commuters"/>
          <xsd:enumeration value="Resource Library"/>
          <xsd:enumeration value="incenTrip"/>
          <xsd:enumeration value="Bikeways"/>
          <xsd:enumeration value="Chapter 30 Scoring"/>
          <xsd:enumeration value="Priority Letters"/>
          <xsd:enumeration value="Meeting Minutes"/>
          <xsd:enumeration value="Meeting Agendas"/>
          <xsd:enumeration value="Priority Letter Maps"/>
          <xsd:enumeration value="Attainment Report"/>
          <xsd:enumeration value="MBPAC"/>
          <xsd:enumeration value="STIP"/>
          <xsd:enumeration value="ZEEVIC"/>
          <xsd:enumeration value="BUILD"/>
          <xsd:enumeration value="INFRA"/>
        </xsd:restriction>
      </xsd:simpleType>
    </xsd:element>
  </xsd:schema>
  <xsd:schema xmlns:xsd="http://www.w3.org/2001/XMLSchema" xmlns:xs="http://www.w3.org/2001/XMLSchema" xmlns:dms="http://schemas.microsoft.com/office/2006/documentManagement/types" xmlns:pc="http://schemas.microsoft.com/office/infopath/2007/PartnerControls" targetNamespace="3f919f12-12a8-48ea-bd7d-1fbdce651874"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F355AA-5636-4008-81F2-B499475A66E5}">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32154df5-7f56-4193-8473-b8da210d5da1"/>
    <ds:schemaRef ds:uri="http://schemas.microsoft.com/office/2006/metadata/properties"/>
    <ds:schemaRef ds:uri="http://purl.org/dc/dcmitype/"/>
    <ds:schemaRef ds:uri="ebb6b759-3149-4fac-97e7-4d7b32fbe114"/>
    <ds:schemaRef ds:uri="http://schemas.microsoft.com/sharepoint/v3"/>
    <ds:schemaRef ds:uri="http://purl.org/dc/terms/"/>
  </ds:schemaRefs>
</ds:datastoreItem>
</file>

<file path=customXml/itemProps2.xml><?xml version="1.0" encoding="utf-8"?>
<ds:datastoreItem xmlns:ds="http://schemas.openxmlformats.org/officeDocument/2006/customXml" ds:itemID="{DE11E6BC-5BD9-4C3D-B897-4D554E7C6ED2}"/>
</file>

<file path=customXml/itemProps3.xml><?xml version="1.0" encoding="utf-8"?>
<ds:datastoreItem xmlns:ds="http://schemas.openxmlformats.org/officeDocument/2006/customXml" ds:itemID="{4B0ADA8A-A2D6-4F92-AD14-7A0F61E978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INTRO</vt:lpstr>
      <vt:lpstr>Table of Contents</vt:lpstr>
      <vt:lpstr>INSTRUCTIONS</vt:lpstr>
      <vt:lpstr>Shared Lane</vt:lpstr>
      <vt:lpstr>Shared Lanes</vt:lpstr>
      <vt:lpstr>Bike Lane Curbside</vt:lpstr>
      <vt:lpstr>Bike Lanes Curbside</vt:lpstr>
      <vt:lpstr>Bike Lane w Parking</vt:lpstr>
      <vt:lpstr>Bike Lanes w Parking</vt:lpstr>
      <vt:lpstr>Buffer Bike Lane Curbside</vt:lpstr>
      <vt:lpstr>Buffer Bike Lanes Curbside</vt:lpstr>
      <vt:lpstr>Protected Two Way Bike Lane</vt:lpstr>
      <vt:lpstr>Bike Blvd</vt:lpstr>
      <vt:lpstr>Shared-Use Paths</vt:lpstr>
      <vt:lpstr>'Bike Blvd'!Print_Area</vt:lpstr>
      <vt:lpstr>'Bike Lane Curbside'!Print_Area</vt:lpstr>
      <vt:lpstr>'Bike Lane w Parking'!Print_Area</vt:lpstr>
      <vt:lpstr>'Bike Lanes Curbside'!Print_Area</vt:lpstr>
      <vt:lpstr>'Bike Lanes w Parking'!Print_Area</vt:lpstr>
      <vt:lpstr>'Buffer Bike Lane Curbside'!Print_Area</vt:lpstr>
      <vt:lpstr>'Buffer Bike Lanes Curbside'!Print_Area</vt:lpstr>
      <vt:lpstr>INSTRUCTIONS!Print_Area</vt:lpstr>
      <vt:lpstr>INTRO!Print_Area</vt:lpstr>
      <vt:lpstr>'Protected Two Way Bike Lane'!Print_Area</vt:lpstr>
      <vt:lpstr>'Shared Lane'!Print_Area</vt:lpstr>
      <vt:lpstr>'Shared Lanes'!Print_Area</vt:lpstr>
      <vt:lpstr>'Shared-Use Paths'!Print_Area</vt:lpstr>
      <vt:lpstr>'Table of Contents'!Print_Area</vt:lpstr>
      <vt:lpstr>'Table of Contents'!Print_Titles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Nate Evans</dc:creator>
  <cp:keywords/>
  <dc:description/>
  <cp:lastModifiedBy>Nate Evans</cp:lastModifiedBy>
  <cp:revision/>
  <cp:lastPrinted>2020-09-21T19:03:49Z</cp:lastPrinted>
  <dcterms:created xsi:type="dcterms:W3CDTF">2019-04-02T18:46:05Z</dcterms:created>
  <dcterms:modified xsi:type="dcterms:W3CDTF">2020-12-14T16:59:14Z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0x010100A32E59E43900A041AB301E9C6F8ACD76</vt:lpwstr>
  </property>
</Properties>
</file>