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mdotgov.sharepoint.com/sites/EnvorionmentandSustainableTransportation/Shared Documents/ATM/Bikeways Grant Program/Admin Documents/Cost Estimator Updates/"/>
    </mc:Choice>
  </mc:AlternateContent>
  <xr:revisionPtr revIDLastSave="131" documentId="13_ncr:1_{AB2F388F-5318-4D74-96AB-314583436DE9}" xr6:coauthVersionLast="47" xr6:coauthVersionMax="47" xr10:uidLastSave="{3C7DD6BE-E33C-401B-ABE8-B04E96F05D40}"/>
  <workbookProtection lockStructure="1"/>
  <bookViews>
    <workbookView xWindow="14145" yWindow="-18120" windowWidth="29040" windowHeight="17520" tabRatio="855" firstSheet="5" activeTab="13" xr2:uid="{679FE14C-A3D4-420C-8776-E732C25A7271}"/>
  </bookViews>
  <sheets>
    <sheet name="INTRO" sheetId="19" r:id="rId1"/>
    <sheet name="Table of Contents" sheetId="21" r:id="rId2"/>
    <sheet name="INSTRUCTIONS" sheetId="20" r:id="rId3"/>
    <sheet name="Shared Lane" sheetId="9" r:id="rId4"/>
    <sheet name="Shared Lanes" sheetId="10" r:id="rId5"/>
    <sheet name="Bike Lane Curbside" sheetId="7" r:id="rId6"/>
    <sheet name="Bike Lanes Curbside" sheetId="11" r:id="rId7"/>
    <sheet name="Bike Lane w Parking" sheetId="8" r:id="rId8"/>
    <sheet name="Bike Lanes w Parking" sheetId="12" r:id="rId9"/>
    <sheet name="Buffer Bike Lane Curbside" sheetId="14" r:id="rId10"/>
    <sheet name="Buffer Bike Lanes Curbside" sheetId="15" r:id="rId11"/>
    <sheet name="Protected Two Way Bike Lane" sheetId="16" r:id="rId12"/>
    <sheet name="Bike Blvd" sheetId="17" r:id="rId13"/>
    <sheet name="Shared-Use Paths" sheetId="6" r:id="rId14"/>
  </sheets>
  <definedNames>
    <definedName name="_xlnm.Print_Area" localSheetId="12">'Bike Blvd'!$A$1:$AF$1</definedName>
    <definedName name="_xlnm.Print_Area" localSheetId="5">'Bike Lane Curbside'!$A$1:$AF$1</definedName>
    <definedName name="_xlnm.Print_Area" localSheetId="7">'Bike Lane w Parking'!$A$1:$AF$1</definedName>
    <definedName name="_xlnm.Print_Area" localSheetId="6">'Bike Lanes Curbside'!$A$1:$AF$1</definedName>
    <definedName name="_xlnm.Print_Area" localSheetId="8">'Bike Lanes w Parking'!$A$1:$AF$1</definedName>
    <definedName name="_xlnm.Print_Area" localSheetId="9">'Buffer Bike Lane Curbside'!$A$1:$AF$1</definedName>
    <definedName name="_xlnm.Print_Area" localSheetId="10">'Buffer Bike Lanes Curbside'!$A$1:$AF$1</definedName>
    <definedName name="_xlnm.Print_Area" localSheetId="2">INSTRUCTIONS!$A$1:$J$41</definedName>
    <definedName name="_xlnm.Print_Area" localSheetId="0">INTRO!$A$1:$G$11</definedName>
    <definedName name="_xlnm.Print_Area" localSheetId="11">'Protected Two Way Bike Lane'!$A$1:$AF$1</definedName>
    <definedName name="_xlnm.Print_Area" localSheetId="3">'Shared Lane'!$A$1:$AF$1</definedName>
    <definedName name="_xlnm.Print_Area" localSheetId="4">'Shared Lanes'!$A$1:$AF$1</definedName>
    <definedName name="_xlnm.Print_Area" localSheetId="13">'Shared-Use Paths'!$A$2:$Y$5</definedName>
    <definedName name="_xlnm.Print_Area" localSheetId="1">'Table of Contents'!$A$1:$G$14</definedName>
    <definedName name="_xlnm.Print_Titles" localSheetId="1">'Table of Contents'!$1:$3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0" l="1"/>
  <c r="H19" i="10"/>
  <c r="G8" i="6"/>
  <c r="I31" i="17"/>
  <c r="I24" i="17"/>
  <c r="I25" i="17"/>
  <c r="I26" i="17"/>
  <c r="I27" i="17"/>
  <c r="I28" i="17"/>
  <c r="I29" i="17"/>
  <c r="I30" i="17"/>
  <c r="H30" i="17"/>
  <c r="H25" i="17"/>
  <c r="H24" i="17"/>
  <c r="H26" i="17"/>
  <c r="H27" i="17"/>
  <c r="H28" i="17"/>
  <c r="H29" i="17"/>
  <c r="H31" i="17"/>
  <c r="H23" i="17"/>
  <c r="G30" i="17"/>
  <c r="G24" i="17"/>
  <c r="G25" i="17"/>
  <c r="G26" i="17"/>
  <c r="G27" i="17"/>
  <c r="G28" i="17"/>
  <c r="G29" i="17"/>
  <c r="G31" i="17"/>
  <c r="I17" i="17"/>
  <c r="H17" i="17"/>
  <c r="H18" i="17"/>
  <c r="G17" i="17"/>
  <c r="E17" i="17"/>
  <c r="E13" i="17"/>
  <c r="E14" i="17"/>
  <c r="E12" i="16"/>
  <c r="E15" i="17"/>
  <c r="G13" i="17"/>
  <c r="H13" i="17"/>
  <c r="G23" i="14"/>
  <c r="H16" i="7"/>
  <c r="D5" i="6"/>
  <c r="G18" i="17"/>
  <c r="G19" i="17"/>
  <c r="G20" i="17"/>
  <c r="I40" i="17"/>
  <c r="I35" i="6"/>
  <c r="G35" i="17"/>
  <c r="G35" i="6"/>
  <c r="I32" i="6"/>
  <c r="I31" i="6"/>
  <c r="G32" i="17"/>
  <c r="G32" i="6"/>
  <c r="G31" i="6"/>
  <c r="I29" i="6"/>
  <c r="I28" i="6"/>
  <c r="G29" i="6"/>
  <c r="G28" i="6"/>
  <c r="I24" i="6"/>
  <c r="I25" i="6"/>
  <c r="I26" i="6"/>
  <c r="I23" i="6"/>
  <c r="I23" i="17"/>
  <c r="H23" i="6"/>
  <c r="G25" i="6"/>
  <c r="G24" i="6"/>
  <c r="G26" i="6"/>
  <c r="G23" i="17"/>
  <c r="G23" i="6"/>
  <c r="I19" i="17"/>
  <c r="I20" i="17"/>
  <c r="I21" i="17"/>
  <c r="I19" i="6"/>
  <c r="I20" i="6"/>
  <c r="I21" i="6"/>
  <c r="I18" i="17"/>
  <c r="I18" i="6"/>
  <c r="G21" i="17"/>
  <c r="G19" i="6"/>
  <c r="G20" i="6"/>
  <c r="G21" i="6"/>
  <c r="G18" i="6"/>
  <c r="I15" i="17"/>
  <c r="I15" i="6"/>
  <c r="I16" i="6"/>
  <c r="I14" i="17"/>
  <c r="I14" i="6"/>
  <c r="G15" i="17"/>
  <c r="G15" i="6"/>
  <c r="G16" i="6"/>
  <c r="G14" i="17"/>
  <c r="G14" i="6"/>
  <c r="I12" i="17"/>
  <c r="H12" i="17"/>
  <c r="I9" i="17"/>
  <c r="I9" i="6"/>
  <c r="I8" i="17"/>
  <c r="I8" i="6"/>
  <c r="I6" i="17"/>
  <c r="I7" i="17"/>
  <c r="I6" i="6"/>
  <c r="I7" i="6"/>
  <c r="I5" i="17"/>
  <c r="I5" i="6"/>
  <c r="G8" i="17"/>
  <c r="G7" i="17"/>
  <c r="G7" i="6"/>
  <c r="G6" i="17"/>
  <c r="G6" i="6"/>
  <c r="G5" i="17"/>
  <c r="G5" i="6"/>
  <c r="G12" i="17"/>
  <c r="I44" i="16"/>
  <c r="I42" i="16"/>
  <c r="I41" i="16"/>
  <c r="I40" i="16"/>
  <c r="I39" i="16"/>
  <c r="I37" i="16"/>
  <c r="I35" i="16"/>
  <c r="I32" i="16"/>
  <c r="I33" i="16"/>
  <c r="I34" i="16"/>
  <c r="I31" i="16"/>
  <c r="G32" i="16"/>
  <c r="G33" i="16"/>
  <c r="G34" i="16"/>
  <c r="G31" i="16"/>
  <c r="I29" i="16"/>
  <c r="I28" i="16"/>
  <c r="G29" i="16"/>
  <c r="G28" i="16"/>
  <c r="I24" i="16"/>
  <c r="I25" i="16"/>
  <c r="I26" i="16"/>
  <c r="I23" i="16"/>
  <c r="G24" i="16"/>
  <c r="G25" i="16"/>
  <c r="G26" i="16"/>
  <c r="G23" i="16"/>
  <c r="I18" i="16"/>
  <c r="I19" i="16"/>
  <c r="I20" i="16"/>
  <c r="I21" i="16"/>
  <c r="I17" i="16"/>
  <c r="G18" i="16"/>
  <c r="G19" i="16"/>
  <c r="G20" i="16"/>
  <c r="G21" i="16"/>
  <c r="G17" i="16"/>
  <c r="I12" i="16"/>
  <c r="I13" i="16"/>
  <c r="I14" i="16"/>
  <c r="I15" i="16"/>
  <c r="I11" i="16"/>
  <c r="G12" i="16"/>
  <c r="G13" i="16"/>
  <c r="G14" i="16"/>
  <c r="G15" i="16"/>
  <c r="G11" i="16"/>
  <c r="I24" i="15"/>
  <c r="I25" i="15"/>
  <c r="G25" i="15"/>
  <c r="G24" i="15"/>
  <c r="G23" i="15"/>
  <c r="I18" i="15"/>
  <c r="I19" i="15"/>
  <c r="I20" i="15"/>
  <c r="I21" i="15"/>
  <c r="I17" i="15"/>
  <c r="G18" i="15"/>
  <c r="G19" i="15"/>
  <c r="G20" i="15"/>
  <c r="G21" i="15"/>
  <c r="G17" i="15"/>
  <c r="I12" i="15"/>
  <c r="I13" i="15"/>
  <c r="I14" i="15"/>
  <c r="I15" i="15"/>
  <c r="I11" i="15"/>
  <c r="G12" i="15"/>
  <c r="G13" i="15"/>
  <c r="G14" i="15"/>
  <c r="G15" i="15"/>
  <c r="G11" i="15"/>
  <c r="I26" i="14"/>
  <c r="G24" i="14"/>
  <c r="G25" i="14"/>
  <c r="I18" i="14"/>
  <c r="I19" i="14"/>
  <c r="G18" i="14"/>
  <c r="G19" i="14"/>
  <c r="G20" i="14"/>
  <c r="G21" i="14"/>
  <c r="G17" i="14"/>
  <c r="G12" i="14"/>
  <c r="G13" i="14"/>
  <c r="G14" i="14"/>
  <c r="G15" i="14"/>
  <c r="G11" i="14"/>
  <c r="I30" i="12"/>
  <c r="I28" i="12"/>
  <c r="I27" i="12"/>
  <c r="I26" i="12"/>
  <c r="I25" i="12"/>
  <c r="I24" i="12"/>
  <c r="I23" i="12"/>
  <c r="I21" i="12"/>
  <c r="I17" i="12"/>
  <c r="I18" i="12"/>
  <c r="I19" i="12"/>
  <c r="I20" i="12"/>
  <c r="I16" i="12"/>
  <c r="G17" i="12"/>
  <c r="G18" i="12"/>
  <c r="G19" i="12"/>
  <c r="G20" i="12"/>
  <c r="G16" i="12"/>
  <c r="I12" i="12"/>
  <c r="I13" i="12"/>
  <c r="I14" i="12"/>
  <c r="I11" i="12"/>
  <c r="G12" i="12"/>
  <c r="G13" i="12"/>
  <c r="G14" i="12"/>
  <c r="G11" i="12"/>
  <c r="I30" i="8"/>
  <c r="I28" i="8"/>
  <c r="I27" i="8"/>
  <c r="I26" i="8"/>
  <c r="I25" i="8"/>
  <c r="I24" i="8"/>
  <c r="I23" i="8"/>
  <c r="I21" i="8"/>
  <c r="I17" i="8"/>
  <c r="I18" i="8"/>
  <c r="I19" i="8"/>
  <c r="I20" i="8"/>
  <c r="I16" i="8"/>
  <c r="G17" i="8"/>
  <c r="G18" i="8"/>
  <c r="G19" i="8"/>
  <c r="G20" i="8"/>
  <c r="G16" i="8"/>
  <c r="I12" i="8"/>
  <c r="I13" i="8"/>
  <c r="I14" i="8"/>
  <c r="I11" i="8"/>
  <c r="G12" i="8"/>
  <c r="G13" i="8"/>
  <c r="G14" i="8"/>
  <c r="G11" i="8"/>
  <c r="I30" i="11"/>
  <c r="I28" i="11"/>
  <c r="I27" i="11"/>
  <c r="I26" i="11"/>
  <c r="I25" i="11"/>
  <c r="I24" i="11"/>
  <c r="I23" i="11"/>
  <c r="I21" i="11"/>
  <c r="I17" i="11"/>
  <c r="I18" i="11"/>
  <c r="I19" i="11"/>
  <c r="I20" i="11"/>
  <c r="I16" i="11"/>
  <c r="G17" i="11"/>
  <c r="G18" i="11"/>
  <c r="G19" i="11"/>
  <c r="G20" i="11"/>
  <c r="G16" i="11"/>
  <c r="I12" i="11"/>
  <c r="I13" i="11"/>
  <c r="I14" i="11"/>
  <c r="I11" i="11"/>
  <c r="G12" i="11"/>
  <c r="G13" i="11"/>
  <c r="G14" i="11"/>
  <c r="G11" i="11"/>
  <c r="I30" i="7"/>
  <c r="I28" i="7"/>
  <c r="I27" i="7"/>
  <c r="I26" i="7"/>
  <c r="I25" i="7"/>
  <c r="I24" i="7"/>
  <c r="I23" i="7"/>
  <c r="I21" i="7"/>
  <c r="I17" i="7"/>
  <c r="I18" i="7"/>
  <c r="I19" i="7"/>
  <c r="I20" i="7"/>
  <c r="I16" i="7"/>
  <c r="G17" i="7"/>
  <c r="G18" i="7"/>
  <c r="G19" i="7"/>
  <c r="G20" i="7"/>
  <c r="G16" i="7"/>
  <c r="I12" i="7"/>
  <c r="I13" i="7"/>
  <c r="I14" i="7"/>
  <c r="I11" i="7"/>
  <c r="G12" i="7"/>
  <c r="G13" i="7"/>
  <c r="G14" i="7"/>
  <c r="G11" i="7"/>
  <c r="G17" i="10"/>
  <c r="G18" i="10"/>
  <c r="G19" i="10"/>
  <c r="G20" i="10"/>
  <c r="G16" i="10"/>
  <c r="G13" i="10"/>
  <c r="G12" i="10"/>
  <c r="G11" i="10"/>
  <c r="I30" i="9"/>
  <c r="I28" i="9"/>
  <c r="I27" i="9"/>
  <c r="I26" i="9"/>
  <c r="I25" i="9"/>
  <c r="I24" i="9"/>
  <c r="I23" i="9"/>
  <c r="I21" i="9"/>
  <c r="I29" i="20"/>
  <c r="I27" i="20"/>
  <c r="I28" i="20"/>
  <c r="I26" i="20"/>
  <c r="H26" i="20"/>
  <c r="I39" i="20"/>
  <c r="I37" i="20"/>
  <c r="I36" i="20"/>
  <c r="I35" i="20"/>
  <c r="I34" i="20"/>
  <c r="I33" i="20"/>
  <c r="I32" i="20"/>
  <c r="I30" i="20"/>
  <c r="I17" i="9"/>
  <c r="I18" i="9"/>
  <c r="I19" i="9"/>
  <c r="I20" i="9"/>
  <c r="I16" i="9"/>
  <c r="G17" i="9"/>
  <c r="G18" i="9"/>
  <c r="G19" i="9"/>
  <c r="G20" i="9"/>
  <c r="G16" i="9"/>
  <c r="I12" i="9"/>
  <c r="I13" i="9"/>
  <c r="H11" i="9"/>
  <c r="I11" i="9"/>
  <c r="G12" i="9"/>
  <c r="G13" i="9"/>
  <c r="G11" i="9"/>
  <c r="I21" i="20"/>
  <c r="I22" i="20"/>
  <c r="I23" i="20"/>
  <c r="I20" i="20"/>
  <c r="I19" i="20"/>
  <c r="I17" i="20"/>
  <c r="I15" i="20"/>
  <c r="I16" i="20"/>
  <c r="I14" i="20"/>
  <c r="I13" i="20"/>
  <c r="H13" i="20"/>
  <c r="G28" i="20"/>
  <c r="G29" i="20"/>
  <c r="G27" i="20"/>
  <c r="F26" i="20"/>
  <c r="G26" i="20"/>
  <c r="E7" i="20"/>
  <c r="E13" i="20"/>
  <c r="E14" i="20"/>
  <c r="H14" i="20"/>
  <c r="E15" i="20"/>
  <c r="H15" i="20"/>
  <c r="H16" i="20"/>
  <c r="E17" i="20"/>
  <c r="H17" i="20"/>
  <c r="G20" i="20"/>
  <c r="G21" i="20"/>
  <c r="G22" i="20"/>
  <c r="G23" i="20"/>
  <c r="G19" i="20"/>
  <c r="G14" i="20"/>
  <c r="G15" i="20"/>
  <c r="G16" i="20"/>
  <c r="G17" i="20"/>
  <c r="G13" i="20"/>
  <c r="D8" i="6"/>
  <c r="E15" i="16"/>
  <c r="E15" i="15"/>
  <c r="E15" i="14"/>
  <c r="H15" i="14" s="1"/>
  <c r="I15" i="14" s="1"/>
  <c r="E14" i="12"/>
  <c r="E14" i="8"/>
  <c r="E14" i="11"/>
  <c r="E14" i="7"/>
  <c r="H28" i="16"/>
  <c r="E19" i="9"/>
  <c r="D7" i="6"/>
  <c r="E15" i="6"/>
  <c r="D6" i="6"/>
  <c r="E16" i="9"/>
  <c r="E16" i="6"/>
  <c r="E14" i="6"/>
  <c r="E18" i="6"/>
  <c r="H16" i="6"/>
  <c r="H15" i="6"/>
  <c r="H14" i="6"/>
  <c r="H26" i="6"/>
  <c r="H25" i="6"/>
  <c r="E25" i="6"/>
  <c r="H24" i="6"/>
  <c r="E24" i="6"/>
  <c r="E23" i="6"/>
  <c r="H28" i="6"/>
  <c r="H29" i="6"/>
  <c r="E29" i="6"/>
  <c r="E28" i="6"/>
  <c r="E31" i="6"/>
  <c r="H31" i="6"/>
  <c r="E32" i="6"/>
  <c r="H32" i="6"/>
  <c r="H21" i="6"/>
  <c r="H19" i="6"/>
  <c r="H20" i="6"/>
  <c r="E23" i="17"/>
  <c r="H29" i="16"/>
  <c r="H34" i="16"/>
  <c r="H33" i="16"/>
  <c r="H32" i="16"/>
  <c r="H31" i="16"/>
  <c r="H35" i="6"/>
  <c r="H15" i="17"/>
  <c r="E5" i="11"/>
  <c r="E11" i="11"/>
  <c r="E19" i="20"/>
  <c r="E19" i="6"/>
  <c r="E20" i="6"/>
  <c r="H18" i="6"/>
  <c r="H8" i="6"/>
  <c r="E9" i="6"/>
  <c r="H23" i="20"/>
  <c r="E22" i="20"/>
  <c r="H22" i="20"/>
  <c r="H21" i="20"/>
  <c r="H20" i="20"/>
  <c r="E17" i="16"/>
  <c r="H14" i="17"/>
  <c r="E21" i="17"/>
  <c r="H21" i="17"/>
  <c r="H20" i="17"/>
  <c r="H19" i="17"/>
  <c r="E5" i="17"/>
  <c r="E12" i="17"/>
  <c r="H15" i="16"/>
  <c r="H14" i="16"/>
  <c r="H14" i="15"/>
  <c r="H15" i="15"/>
  <c r="H14" i="14"/>
  <c r="I14" i="14" s="1"/>
  <c r="H13" i="12"/>
  <c r="H14" i="12"/>
  <c r="H13" i="8"/>
  <c r="H14" i="8"/>
  <c r="H13" i="11"/>
  <c r="H14" i="11"/>
  <c r="H13" i="7"/>
  <c r="H14" i="7"/>
  <c r="H21" i="16"/>
  <c r="E20" i="16"/>
  <c r="H20" i="16"/>
  <c r="H19" i="16"/>
  <c r="H18" i="16"/>
  <c r="H17" i="16"/>
  <c r="E5" i="16"/>
  <c r="E20" i="15"/>
  <c r="H20" i="15"/>
  <c r="E17" i="15"/>
  <c r="H17" i="15"/>
  <c r="H21" i="15"/>
  <c r="H19" i="15"/>
  <c r="H18" i="15"/>
  <c r="E5" i="15"/>
  <c r="E13" i="15"/>
  <c r="H13" i="15"/>
  <c r="H21" i="14"/>
  <c r="I21" i="14" s="1"/>
  <c r="E20" i="14"/>
  <c r="H20" i="14"/>
  <c r="I20" i="14" s="1"/>
  <c r="H19" i="14"/>
  <c r="H18" i="14"/>
  <c r="E17" i="14"/>
  <c r="H17" i="14" s="1"/>
  <c r="I17" i="14" s="1"/>
  <c r="E5" i="14"/>
  <c r="E11" i="14" s="1"/>
  <c r="H11" i="14" s="1"/>
  <c r="E12" i="14"/>
  <c r="E24" i="14" s="1"/>
  <c r="H24" i="14" s="1"/>
  <c r="I24" i="14" s="1"/>
  <c r="E19" i="11"/>
  <c r="H19" i="11"/>
  <c r="E19" i="12"/>
  <c r="H19" i="12"/>
  <c r="E16" i="12"/>
  <c r="H16" i="12"/>
  <c r="H20" i="12"/>
  <c r="H18" i="12"/>
  <c r="H17" i="12"/>
  <c r="E5" i="12"/>
  <c r="E16" i="11"/>
  <c r="H16" i="11"/>
  <c r="H20" i="11"/>
  <c r="H18" i="11"/>
  <c r="H17" i="11"/>
  <c r="E12" i="11"/>
  <c r="H12" i="11"/>
  <c r="E16" i="10"/>
  <c r="H16" i="10" s="1"/>
  <c r="I16" i="10" s="1"/>
  <c r="H20" i="10"/>
  <c r="I20" i="10" s="1"/>
  <c r="H18" i="10"/>
  <c r="I18" i="10" s="1"/>
  <c r="H17" i="10"/>
  <c r="I17" i="10" s="1"/>
  <c r="H13" i="10"/>
  <c r="I13" i="10" s="1"/>
  <c r="H12" i="10"/>
  <c r="I12" i="10" s="1"/>
  <c r="E5" i="10"/>
  <c r="E11" i="10"/>
  <c r="H11" i="10" s="1"/>
  <c r="I11" i="10" s="1"/>
  <c r="H16" i="9"/>
  <c r="H19" i="9"/>
  <c r="H20" i="9"/>
  <c r="H18" i="9"/>
  <c r="H17" i="9"/>
  <c r="H13" i="9"/>
  <c r="H12" i="9"/>
  <c r="E5" i="9"/>
  <c r="H20" i="8"/>
  <c r="E19" i="8"/>
  <c r="H19" i="8"/>
  <c r="H18" i="8"/>
  <c r="H17" i="8"/>
  <c r="E16" i="8"/>
  <c r="H16" i="8"/>
  <c r="E5" i="8"/>
  <c r="E12" i="8"/>
  <c r="H18" i="7"/>
  <c r="H20" i="7"/>
  <c r="H17" i="7"/>
  <c r="E19" i="7"/>
  <c r="H19" i="7"/>
  <c r="E16" i="7"/>
  <c r="E5" i="7"/>
  <c r="E12" i="7"/>
  <c r="H12" i="7"/>
  <c r="E11" i="9"/>
  <c r="H21" i="9"/>
  <c r="E12" i="12"/>
  <c r="E11" i="12"/>
  <c r="E26" i="16"/>
  <c r="H26" i="16"/>
  <c r="E23" i="16"/>
  <c r="H23" i="16"/>
  <c r="E12" i="15"/>
  <c r="E13" i="14"/>
  <c r="H13" i="14"/>
  <c r="I13" i="14" s="1"/>
  <c r="H12" i="16"/>
  <c r="E25" i="16"/>
  <c r="H25" i="16"/>
  <c r="E13" i="16"/>
  <c r="H13" i="16"/>
  <c r="E11" i="16"/>
  <c r="H11" i="16"/>
  <c r="E24" i="16"/>
  <c r="H24" i="16"/>
  <c r="H12" i="15"/>
  <c r="E11" i="15"/>
  <c r="H11" i="15"/>
  <c r="H12" i="12"/>
  <c r="H11" i="12"/>
  <c r="H11" i="11"/>
  <c r="H21" i="11"/>
  <c r="H12" i="8"/>
  <c r="E11" i="8"/>
  <c r="H11" i="8"/>
  <c r="E11" i="7"/>
  <c r="H11" i="7"/>
  <c r="H21" i="7"/>
  <c r="H35" i="16"/>
  <c r="H37" i="16"/>
  <c r="H38" i="16"/>
  <c r="E25" i="15"/>
  <c r="H25" i="15"/>
  <c r="E23" i="15"/>
  <c r="H23" i="15"/>
  <c r="I23" i="15" s="1"/>
  <c r="E24" i="15"/>
  <c r="H24" i="15"/>
  <c r="H21" i="12"/>
  <c r="H23" i="12"/>
  <c r="H24" i="12"/>
  <c r="H23" i="11"/>
  <c r="H24" i="11"/>
  <c r="H23" i="9"/>
  <c r="H24" i="9"/>
  <c r="H21" i="8"/>
  <c r="H23" i="8"/>
  <c r="H23" i="7"/>
  <c r="H24" i="7"/>
  <c r="H7" i="6"/>
  <c r="H6" i="6"/>
  <c r="H5" i="6"/>
  <c r="H27" i="15"/>
  <c r="H29" i="15" s="1"/>
  <c r="I29" i="15" s="1"/>
  <c r="H9" i="6"/>
  <c r="H12" i="6" s="1"/>
  <c r="H11" i="6"/>
  <c r="H39" i="16"/>
  <c r="H40" i="16"/>
  <c r="H25" i="12"/>
  <c r="H26" i="12"/>
  <c r="H25" i="11"/>
  <c r="H26" i="11"/>
  <c r="H25" i="9"/>
  <c r="H26" i="9"/>
  <c r="H24" i="8"/>
  <c r="H25" i="8"/>
  <c r="H26" i="8"/>
  <c r="H25" i="7"/>
  <c r="H26" i="7"/>
  <c r="H41" i="16"/>
  <c r="H42" i="16"/>
  <c r="H27" i="12"/>
  <c r="H28" i="12"/>
  <c r="H27" i="11"/>
  <c r="H28" i="11"/>
  <c r="H27" i="9"/>
  <c r="H28" i="9"/>
  <c r="H27" i="8"/>
  <c r="H28" i="8"/>
  <c r="H27" i="7"/>
  <c r="H28" i="7"/>
  <c r="H44" i="16"/>
  <c r="H30" i="12"/>
  <c r="H30" i="11"/>
  <c r="H30" i="9"/>
  <c r="H30" i="8"/>
  <c r="H30" i="7"/>
  <c r="H19" i="20"/>
  <c r="E26" i="20"/>
  <c r="E29" i="20"/>
  <c r="H29" i="20"/>
  <c r="E27" i="20"/>
  <c r="H27" i="20"/>
  <c r="E28" i="20"/>
  <c r="H28" i="20"/>
  <c r="H30" i="20"/>
  <c r="H32" i="20"/>
  <c r="H33" i="20"/>
  <c r="H34" i="20"/>
  <c r="H35" i="20"/>
  <c r="H36" i="20"/>
  <c r="H37" i="20"/>
  <c r="H39" i="20"/>
  <c r="H21" i="10" l="1"/>
  <c r="I19" i="10"/>
  <c r="I13" i="17"/>
  <c r="H32" i="17"/>
  <c r="I27" i="15"/>
  <c r="H30" i="15"/>
  <c r="I11" i="14"/>
  <c r="H12" i="14"/>
  <c r="I12" i="14" s="1"/>
  <c r="E23" i="14"/>
  <c r="H23" i="14" s="1"/>
  <c r="I23" i="14" s="1"/>
  <c r="E25" i="14"/>
  <c r="H25" i="14" s="1"/>
  <c r="I25" i="14" s="1"/>
  <c r="H37" i="6"/>
  <c r="I12" i="6"/>
  <c r="H23" i="10" l="1"/>
  <c r="I21" i="10"/>
  <c r="H35" i="17"/>
  <c r="I32" i="17"/>
  <c r="H31" i="15"/>
  <c r="I31" i="15" s="1"/>
  <c r="I30" i="15"/>
  <c r="H26" i="14"/>
  <c r="I37" i="6"/>
  <c r="H39" i="6"/>
  <c r="I39" i="6" s="1"/>
  <c r="H40" i="6"/>
  <c r="I23" i="10" l="1"/>
  <c r="H24" i="10"/>
  <c r="I35" i="17"/>
  <c r="H36" i="17"/>
  <c r="I36" i="17" s="1"/>
  <c r="H32" i="15"/>
  <c r="H28" i="14"/>
  <c r="I28" i="14" s="1"/>
  <c r="H29" i="14"/>
  <c r="I40" i="6"/>
  <c r="H41" i="6"/>
  <c r="I41" i="6" s="1"/>
  <c r="H42" i="6"/>
  <c r="H25" i="10" l="1"/>
  <c r="I24" i="10"/>
  <c r="H37" i="17"/>
  <c r="H38" i="17" s="1"/>
  <c r="I32" i="15"/>
  <c r="H33" i="15"/>
  <c r="H31" i="14"/>
  <c r="I29" i="14"/>
  <c r="H30" i="14"/>
  <c r="I30" i="14" s="1"/>
  <c r="H43" i="6"/>
  <c r="I42" i="6"/>
  <c r="I25" i="10" l="1"/>
  <c r="H26" i="10"/>
  <c r="I37" i="17"/>
  <c r="I38" i="17"/>
  <c r="H39" i="17"/>
  <c r="I39" i="17" s="1"/>
  <c r="H41" i="17"/>
  <c r="I41" i="17" s="1"/>
  <c r="I33" i="15"/>
  <c r="H34" i="15"/>
  <c r="H32" i="14"/>
  <c r="I31" i="14"/>
  <c r="H44" i="6"/>
  <c r="I43" i="6"/>
  <c r="H27" i="10" l="1"/>
  <c r="I26" i="10"/>
  <c r="I34" i="15"/>
  <c r="H36" i="15"/>
  <c r="I36" i="15" s="1"/>
  <c r="I32" i="14"/>
  <c r="H33" i="14"/>
  <c r="I44" i="6"/>
  <c r="H46" i="6"/>
  <c r="I46" i="6" s="1"/>
  <c r="I27" i="10" l="1"/>
  <c r="H28" i="10"/>
  <c r="I33" i="14"/>
  <c r="H35" i="14"/>
  <c r="I35" i="14" s="1"/>
  <c r="H30" i="10" l="1"/>
  <c r="I30" i="10" s="1"/>
  <c r="I28" i="10"/>
</calcChain>
</file>

<file path=xl/sharedStrings.xml><?xml version="1.0" encoding="utf-8"?>
<sst xmlns="http://schemas.openxmlformats.org/spreadsheetml/2006/main" count="883" uniqueCount="183">
  <si>
    <t>Planning Level Cost Estimating Tool For Bicycle Infrastructure Projects</t>
  </si>
  <si>
    <t xml:space="preserve">This planning level cost estimating tool has been developed by the Maryland Department of Transportation and the Baltimore Regional Transportation Board's Bicycle and Pedestrian Advisory Group. The purpose of this estimator is to provide guidance to local jurisdictions on project design and construction costs associated with bicycle infrastructure. Cost estimates within this tool are developed by identifying pay items and establishing generalized quantities. This tool aims to cover a wide range of possible expenses that are typically incurred with bicycle projects, but cannot account for all possible items. To account for increased costs as design progresses, a 30% continency is included to allow for items not yet designed. The cost estimator is also provided as a general planning tool to compare costs from planning, develpoment and engineering professionals. </t>
  </si>
  <si>
    <t xml:space="preserve">The cost estimating tool is based on American Association of State Highway Transportation Officials (AASHTO) and Maryland Manual of Uniformed Traffic Control Devices (MDMUTCD) standards for facility design, pavement markings, sign placement and other standards. The standards are incorporated into quantity calculations based on the project length and other user preferences. </t>
  </si>
  <si>
    <t xml:space="preserve">The cost estimating tool is incorporates quantity formulas based on the project specifics. Users only need to input data into the orange fieds (project length, the number of intersections and average intersction width) to calcuate the remaining costs. </t>
  </si>
  <si>
    <t xml:space="preserve">As no two bicycle facilities are exactly alike, this tool is divided into bicycle facility types to allow for more accurate estimates. Each facility type is located on separate tabs. The below TABLE OF CONTENTS list varying bicycle facilities and descriptions to help identify the appropriate facility to use. </t>
  </si>
  <si>
    <t xml:space="preserve">Note that this estimator includes generalized costs for asphalt, concrete, grading, drainage improvements, limited utility relocation, pavement markings, signs and traffic signal adjustments. The estimate does not include construction management, special site remediation or the cost for ongoing maintenance. A cost range has been assigned to some general categories; however, these costs can vary widely depending on the exact details and nature of the work. The overall estimates are intended to be general and used for planning purposes. Construction costs will vary based on the ultimate project scope, implementation schedule, and economic conditions at the time of construction. </t>
  </si>
  <si>
    <t>Additional Costs Associated with Construction Projects</t>
  </si>
  <si>
    <t xml:space="preserve">In addition to design and construction costs, various costs are associated with capital project preparation. These costs include preparing environmental documentation, performing a hydrologic and hydraulic study and establishing easements or acquiring properties, identifying historic or cultural resources, endangered species or contaminated site remediation. </t>
  </si>
  <si>
    <t>For shared-use path projects that include lighting, coordination for the installation, maintenance, operation and expenditure needs to be coordinated among stakeholders. Metering and billing are critical items which need to be determined prior to the lighting design.</t>
  </si>
  <si>
    <t xml:space="preserve">Planning level cost estimates aim to cover a wide range of possible expenses that are typically incurred with projects, but cannot account for all possible items. The cost estimator is also provided as a general planning tool to compare costs from planning, development and engineering professionals. </t>
  </si>
  <si>
    <t>Table of Contents</t>
  </si>
  <si>
    <t>Bicycle Facility Type</t>
  </si>
  <si>
    <t>Tab</t>
  </si>
  <si>
    <t>Description</t>
  </si>
  <si>
    <t>Shared Lane</t>
  </si>
  <si>
    <t>A shared lane is represented by conditions where bicycle traffic shares a travel lane with motor vehicle traffic.  While a shared lane is not a dedicated bicycle facility, the tab accounts for shared lane markings, also known as sharrows, and related signage for one travel direction.</t>
  </si>
  <si>
    <t>Shared Lanes</t>
  </si>
  <si>
    <t>A shared lane is represented by conditions where bicycle traffic shares a travel lane with motor vehicle traffic.  While a shared lane is not a dedicated bicycle facility, the tab accounts for shared lane markings, also known as sharrows, and related signage for two-way travel.</t>
  </si>
  <si>
    <t xml:space="preserve">Bike Lane </t>
  </si>
  <si>
    <t>Bike Lane Curbside</t>
  </si>
  <si>
    <t>A bike lane is a 5-foot-wide area on the roadway delineated by two parallel white pavement markings.  Bike lanes can be against the curb or between a row of parked cars and a motor vehicle travel lane.  This tab can be used where the bike lane is against the curb, WITHOUT on-street parking, on one side of the street.</t>
  </si>
  <si>
    <t>Bike Lanes Curbside</t>
  </si>
  <si>
    <t xml:space="preserve">A bike lane is a 5-foot-wide area on the roadway delineated by two parallel white pavement markings.  Bike lanes can be against the curb or between a row of parked cars and a motor vehicle travel lane.  This tab can be used where the bike lane is against the curb, WITHOUT on-street parking, on two sides of the street. </t>
  </si>
  <si>
    <t>Bike Lane w Parking</t>
  </si>
  <si>
    <t>A bike lane is a 5-foot-wide area on the roadway delineated by two parallel white pavement markings.  Bike lanes can be against the curb or between a row of parked cars and a motor vehicle travel lane.  This tab can be used where the bike lane is against the curb, WITH on-street parking, on one side of the street.</t>
  </si>
  <si>
    <t>Bike Lanes w Parking</t>
  </si>
  <si>
    <t xml:space="preserve">A bike lane is a 5-foot-wide area on the roadway delineated by two parallel white pavement markings.  Bike lanes can be against the curb or between a row of parked cars and a motor vehicle travel lane.  This tab can be used where the bike lane is against the curb, WITH on-street parking, on two sides of the street. </t>
  </si>
  <si>
    <t xml:space="preserve">Buffered Bike Lane </t>
  </si>
  <si>
    <t>Buffer Bike Lane Curbside</t>
  </si>
  <si>
    <t xml:space="preserve">A bike lane can be separated from motor vehicle travel lanes by a striped buffer.  The buffer allows for additional roadway space between bicycle traffic and motor vehicle traffic.  Buffers are at least three-feet-wide and may have vertical delineators, such as flex posts, bollards or planters, to provide additional definition to the bicycle area of travel.  This tab accounts for buffered bike lane construction on one side of a roadway.  While buffered bike lanes may be located between a row of on-street parking and a motor vehicle travel lane, this configuration allows motor vehicle traffic to encroach on the bicycle area of travel, thus reducing the safety of the bike facility.  Due to diminished safety, this estimator does not include calculations for buffered bike lanes between parked vehicles and motor vehicle travel lanes. </t>
  </si>
  <si>
    <t>Buffer Bike Lanes Curbside</t>
  </si>
  <si>
    <t xml:space="preserve">A bike lane can be separated from motor vehicle travel lanes by a striped buffer.  The buffer allows for additional roadway space between bicycle traffic and motor vehicle traffic.  Buffers are at least three-feet-wide and may have vertical delineators, such as flex posts, bollards or planters, to provide additional definition to the bicycle area of travel.  This tab accounts for buffered bike lane construction on two sides of a roadway.  While buffered bike lanes may be located between a row of on-street parking and a motor vehicle travel lane, this configuration allows motor vehicle traffic to encroach on the bicycle area of travel, thus reducing the safety of the bike facility.  Due to diminished safety, this estimator does not include calculations for buffered bike lanes between parked vehicles and motor vehicle travel lanes. </t>
  </si>
  <si>
    <t>Protected Bike Lane/Cycletrack</t>
  </si>
  <si>
    <t>Protected Two Way Bike Lane</t>
  </si>
  <si>
    <t xml:space="preserve">A protected bike lane is bike lane that has a physical barrier between the bike lane and motor vehicle travel lane.  For a single direction protected bike lane, use the BUFFER BIKE LANE CURBSIDE tab.  Use this tab for a two-way protected bike lane where two opposing direction bike lanes are located against the curb on one side of the roadway. </t>
  </si>
  <si>
    <t>Bicycle Boulevard/Neighborhood Greenway</t>
  </si>
  <si>
    <t>Bike Blvd</t>
  </si>
  <si>
    <t xml:space="preserve">A bicycle boulevard, or neighborhood greenway, is a low-traffic-volume, low-traffic-speed roadway with minor roadway adjustments to improve bicycle access.  Typically, traffic calming features are applied to a residential corridor to reduce motor vehicle speed and access.  This tab includes a variety of traffic calming features that may be included, or excluded.  As most bicycle boulevards are on two-way residential roadways, this tab includes information that reflect those conditions. </t>
  </si>
  <si>
    <t>Shared-use Paths/Paved Trails</t>
  </si>
  <si>
    <t>Shared-Use Paths</t>
  </si>
  <si>
    <t xml:space="preserve">A shared-use path is a two-way, hard surface trail that can be used by both bicyclists and pedestrians.  Most shared-use paths have an independent alignment and include most construction items associated with new roadway construction.  The design and construction costs of a shared-use paths are closely tied to the physical environment through which they pass.  As such, generalized project costs are based on level terrain, rolling terrain, steep terrain and stream valleys. </t>
  </si>
  <si>
    <t>Complete Streets Intersection Treatements</t>
  </si>
  <si>
    <t>Complete Streets Intersection</t>
  </si>
  <si>
    <t xml:space="preserve">A complete streets intersection is designed for the safety of all users, including pedestrians and bicyclists. This includes temporary treatments, traffic calming, bicycle treatments, and pedestrain safety benefits. </t>
  </si>
  <si>
    <t>Planning Level Cost Estimating Tool Instructions</t>
  </si>
  <si>
    <t xml:space="preserve">The bicycle project cost estimator is designed to be an 'easy to use' tool.  Users enter a few parameters for the intended project and the tool calculates costs based on construction costs and assumed percentage costs for design.  These INSTRUCTIONS provide guidance on how to use the tool with descriptions for each field based on a curb side, two-way protected bike lane.  Click on a green cell for more information. Additional guidance is provided on various facility tabs as needed. </t>
  </si>
  <si>
    <t>Planning Level Cost Estimates for Curb Side ,Two-Way Protected Bike Lane On One Side of Roadway</t>
  </si>
  <si>
    <t>Project Description (Optional)</t>
  </si>
  <si>
    <t>Characteristics</t>
  </si>
  <si>
    <t>Quantity</t>
  </si>
  <si>
    <t>Length</t>
  </si>
  <si>
    <t>Linear Feet</t>
  </si>
  <si>
    <t>Miles</t>
  </si>
  <si>
    <t>Intersections</t>
  </si>
  <si>
    <t>Each</t>
  </si>
  <si>
    <t>Intersection Width (Avg)</t>
  </si>
  <si>
    <t>Pavement Markings</t>
  </si>
  <si>
    <t>2022 Unit Cost</t>
  </si>
  <si>
    <t>2025 Unit Cost</t>
  </si>
  <si>
    <t>2022 Total</t>
  </si>
  <si>
    <t>2025 Total</t>
  </si>
  <si>
    <t>Bike Lane symbols</t>
  </si>
  <si>
    <t>5" White Retroreflective Pavement Marking</t>
  </si>
  <si>
    <t>5" White Retroreflective Pavement Marking for 3' Buffer, 10' Spacing</t>
  </si>
  <si>
    <t>5" Yellow Retroreflective Pavement Marking</t>
  </si>
  <si>
    <t>Green Pavement Marking</t>
  </si>
  <si>
    <t>Square Foot</t>
  </si>
  <si>
    <t>Signs</t>
  </si>
  <si>
    <t>Dimensions</t>
  </si>
  <si>
    <t>Square Footage</t>
  </si>
  <si>
    <t>R3-17 (Bike Lane)</t>
  </si>
  <si>
    <t>24" x 18"</t>
  </si>
  <si>
    <t>Rd-17aP (Bike Lane Ahead)</t>
  </si>
  <si>
    <t>24" x 8"</t>
  </si>
  <si>
    <t>Rd-17bP (Bike Lane Ends)</t>
  </si>
  <si>
    <t>R4-4 (Right Turn Yield to Bikes)</t>
  </si>
  <si>
    <t>36" x 30"</t>
  </si>
  <si>
    <t>R4-11 (Bikes May Use Full Lane)</t>
  </si>
  <si>
    <t>30" x 30"</t>
  </si>
  <si>
    <t>Separation</t>
  </si>
  <si>
    <t>Passive Unit Cost</t>
  </si>
  <si>
    <t>2022 Active Unit Cost</t>
  </si>
  <si>
    <t>2025 Active Unit Cost</t>
  </si>
  <si>
    <t>Flex posts (10' spacing)</t>
  </si>
  <si>
    <t>Low profile, pre-fab concrete barrier (10' length, 50' spacing)</t>
  </si>
  <si>
    <t>Concrete Planters (6' length, 25' spacing)</t>
  </si>
  <si>
    <t>Raised concrete median</t>
  </si>
  <si>
    <t>Construction Subtotal</t>
  </si>
  <si>
    <t>Mobilization</t>
  </si>
  <si>
    <t>10% of Construction Costs</t>
  </si>
  <si>
    <t>Subtotal</t>
  </si>
  <si>
    <t>Contingency</t>
  </si>
  <si>
    <t>Design &amp; Permitting</t>
  </si>
  <si>
    <t>25% of Construction Costs</t>
  </si>
  <si>
    <t>Preliminary Site Investigation</t>
  </si>
  <si>
    <t>5% of Design</t>
  </si>
  <si>
    <t>Project Costs</t>
  </si>
  <si>
    <t>Planning Level Cost Estimates for Shared Lanes on One Side of Roadway</t>
  </si>
  <si>
    <t>Instructions: Enter data in these cells. Some cells may have additional information if you click on them.</t>
  </si>
  <si>
    <t>Project Description</t>
  </si>
  <si>
    <t>Shared Lanes symbols</t>
  </si>
  <si>
    <t>Planning Level Cost Estimates for Shared Lanes on Two Sides of Roadway</t>
  </si>
  <si>
    <t>Planning Level Cost Estimates for Curb Side Bike Lane On One Side of Roadway</t>
  </si>
  <si>
    <t>10% of Design</t>
  </si>
  <si>
    <t>Planning Level Cost Estimates for Curb Side Bike Lanes on Both Sides of Roadway</t>
  </si>
  <si>
    <t>Planning Level Cost Estimates for Bike Lane Against Parking Lane on One Side of Roadway</t>
  </si>
  <si>
    <t>Planning Level Cost Estimates for Bike Lanes Against Parking Lane on Two Sides of Roadway</t>
  </si>
  <si>
    <t>Planning Level Cost Estimates for Curb Side Buffered Bike Lane On One Side of Roadway</t>
  </si>
  <si>
    <t>2022 Active Unit Cost (select only one separation type's passive unit cost to apply here)</t>
  </si>
  <si>
    <t>Planning Level Cost Estimates for Curb Side Buffered Bike Lane On Two Sides of Roadway</t>
  </si>
  <si>
    <t>Planning Level Cost Estimates for Curb Side Two-Way Protected Bike Lane On One Side of Roadway</t>
  </si>
  <si>
    <t>Instructions: Enter data in these cells. In some instances, cells may be locked but provide additional information.</t>
  </si>
  <si>
    <t>Signalization</t>
  </si>
  <si>
    <t>2022 Per Intersection</t>
  </si>
  <si>
    <t>2025 Per Intersection</t>
  </si>
  <si>
    <t>Full Intersection(s)</t>
  </si>
  <si>
    <t>Patrial Intersection(s)</t>
  </si>
  <si>
    <t>Additional Features</t>
  </si>
  <si>
    <t>Curb Extensions</t>
  </si>
  <si>
    <t>Per Intersection</t>
  </si>
  <si>
    <t>Landscaped Chicanes</t>
  </si>
  <si>
    <t>Raised Crosswalk</t>
  </si>
  <si>
    <t>Bicycle-friendly storm grates</t>
  </si>
  <si>
    <t>Planning Level Cost Estimates for Bicycle Boulevard/Neighborhood Greenway Corridor Improvements</t>
  </si>
  <si>
    <t>Trail 2022 Base Cost per mile</t>
  </si>
  <si>
    <t>Trail 2025 Base Cost per mile</t>
  </si>
  <si>
    <t>2022 Total Cost per mile</t>
  </si>
  <si>
    <t>2025 Total Cost per mile</t>
  </si>
  <si>
    <t>Contraflow Length</t>
  </si>
  <si>
    <t>Contraflow Intersections</t>
  </si>
  <si>
    <t>Traffic Calming Features</t>
  </si>
  <si>
    <t>Flex posts (10' spacing) for contraflow lane</t>
  </si>
  <si>
    <t>Flex posts (10' spacing) for additional use</t>
  </si>
  <si>
    <t>Bicycle-friendly speed humps</t>
  </si>
  <si>
    <t>Raised Intersection</t>
  </si>
  <si>
    <t>Mini-Roundabout</t>
  </si>
  <si>
    <t>$750,000 per Location (2022)</t>
  </si>
  <si>
    <t>Planning Level Cost Estimates for Shared-use Paths</t>
  </si>
  <si>
    <t>Facility Type</t>
  </si>
  <si>
    <t>Context</t>
  </si>
  <si>
    <t>Length (feet)</t>
  </si>
  <si>
    <t>Length (Miles)</t>
  </si>
  <si>
    <t>Shared-use Path</t>
  </si>
  <si>
    <t>Stream Valley</t>
  </si>
  <si>
    <t>Steep terrain</t>
  </si>
  <si>
    <t>Rolling Terrain</t>
  </si>
  <si>
    <t>Level Terrain</t>
  </si>
  <si>
    <t>Pervious Pavement</t>
  </si>
  <si>
    <t>No</t>
  </si>
  <si>
    <t>Retaining Walls</t>
  </si>
  <si>
    <t>Retaining Wall 2022 Cost ($100 per square foot)</t>
  </si>
  <si>
    <t>Wall 1</t>
  </si>
  <si>
    <t>Wall 2</t>
  </si>
  <si>
    <t>Wall 3</t>
  </si>
  <si>
    <t>Bridges</t>
  </si>
  <si>
    <t>Bridges 2022 Cost (per square foot)</t>
  </si>
  <si>
    <t>Bridges 2025 Cost (per square foot)</t>
  </si>
  <si>
    <t>Bridge 1</t>
  </si>
  <si>
    <t>Bridge 2</t>
  </si>
  <si>
    <t>Pre-fabricated Bridge 1</t>
  </si>
  <si>
    <t>Pre-fabricated Bridge 2</t>
  </si>
  <si>
    <t>Boardwalk</t>
  </si>
  <si>
    <t>Boardwalk 2022 Cost ($45-$150 per square foot)</t>
  </si>
  <si>
    <t>Boardwalk 2025 Cost ($45-$150 per square foot)</t>
  </si>
  <si>
    <t>Boardwalk 1</t>
  </si>
  <si>
    <t>Boardwalk 2 (w raillings)</t>
  </si>
  <si>
    <t>Tunnels</t>
  </si>
  <si>
    <t>Tunnel 2022 Cost ($2600 per square foot)</t>
  </si>
  <si>
    <t>Tunnel 2025 Cost ($2600 per square foot)</t>
  </si>
  <si>
    <t>Tunnel 1</t>
  </si>
  <si>
    <t>Tunnel 2</t>
  </si>
  <si>
    <t>Lighting</t>
  </si>
  <si>
    <t>Lighting Cost 2022 ($1m per linear mile)</t>
  </si>
  <si>
    <t>Lighting Cost 2025 ($1m per linear mile)</t>
  </si>
  <si>
    <t>Section 1</t>
  </si>
  <si>
    <t>Section 2</t>
  </si>
  <si>
    <t>Railroad Protection Services</t>
  </si>
  <si>
    <t>Locations</t>
  </si>
  <si>
    <t xml:space="preserve">Location </t>
  </si>
  <si>
    <t>30% of Construction Costs</t>
  </si>
  <si>
    <t>Retaining Wall 2025 Cost ($100 per square foot)</t>
  </si>
  <si>
    <t>$819,225 per Location (2052)</t>
  </si>
  <si>
    <t>2025 cost values are estimated by applying a 9.23% inflation rate to 2022 costs. Infaltion rates were determined by MDOT Capital and Real Estate Inflation Factors (April 2025). 2022 values can be viewed by un-hiding the hidden columns on each tab.
Last updated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</si>
</sst>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quot;$&quot;#,##0"/>
    <numFmt numFmtId="166" formatCode="#,##0.0"/>
    <numFmt numFmtId="167" formatCode="0.000"/>
  </numFmts>
  <fonts count="2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2"/>
      <color theme="0"/>
      <name val="Calibri"/>
      <family val="2"/>
      <scheme val="minor"/>
    </font>
    <font>
      <b/>
      <sz val="12"/>
      <name val="Calibri"/>
      <family val="2"/>
      <scheme val="minor"/>
    </font>
    <font>
      <sz val="11"/>
      <name val="Calibri"/>
      <family val="2"/>
      <scheme val="minor"/>
    </font>
    <font>
      <sz val="12"/>
      <name val="Calibri"/>
      <family val="2"/>
      <scheme val="minor"/>
    </font>
    <font>
      <i/>
      <sz val="11"/>
      <name val="Calibri"/>
      <family val="2"/>
      <scheme val="minor"/>
    </font>
    <font>
      <sz val="11"/>
      <color theme="0" tint="-0.34998626667073579"/>
      <name val="Calibri"/>
      <family val="2"/>
      <scheme val="minor"/>
    </font>
    <font>
      <b/>
      <sz val="16"/>
      <color theme="0"/>
      <name val="Calibri"/>
      <family val="2"/>
      <scheme val="minor"/>
    </font>
    <font>
      <sz val="11"/>
      <color rgb="FF3F3F76"/>
      <name val="Calibri"/>
      <family val="2"/>
      <scheme val="minor"/>
    </font>
    <font>
      <sz val="8"/>
      <name val="Calibri"/>
      <family val="2"/>
      <scheme val="minor"/>
    </font>
    <font>
      <i/>
      <sz val="11"/>
      <color theme="1"/>
      <name val="Calibri"/>
      <family val="2"/>
      <scheme val="minor"/>
    </font>
    <font>
      <sz val="9"/>
      <color theme="1"/>
      <name val="Calibri"/>
      <family val="2"/>
      <scheme val="minor"/>
    </font>
    <font>
      <b/>
      <sz val="11"/>
      <color rgb="FFFF0000"/>
      <name val="Calibri"/>
      <family val="2"/>
      <scheme val="minor"/>
    </font>
    <font>
      <sz val="11"/>
      <color theme="1"/>
      <name val="Calibri"/>
      <family val="2"/>
      <scheme val="minor"/>
    </font>
    <font>
      <sz val="11"/>
      <color theme="1" tint="0.34998626667073579"/>
      <name val="Calibri"/>
      <family val="2"/>
      <scheme val="minor"/>
    </font>
    <font>
      <sz val="11"/>
      <color theme="7" tint="-0.499984740745262"/>
      <name val="Calibri"/>
      <family val="2"/>
      <scheme val="minor"/>
    </font>
    <font>
      <sz val="11"/>
      <color theme="9" tint="-0.249977111117893"/>
      <name val="Calibri"/>
      <family val="2"/>
      <scheme val="minor"/>
    </font>
    <font>
      <sz val="11"/>
      <color theme="9" tint="-0.499984740745262"/>
      <name val="Calibri"/>
      <family val="2"/>
      <scheme val="minor"/>
    </font>
  </fonts>
  <fills count="5">
    <fill>
      <patternFill patternType="none"/>
    </fill>
    <fill>
      <patternFill patternType="gray125"/>
    </fill>
    <fill>
      <patternFill patternType="solid">
        <fgColor theme="0" tint="-0.499984740745262"/>
        <bgColor indexed="64"/>
      </patternFill>
    </fill>
    <fill>
      <patternFill patternType="solid">
        <fgColor rgb="FFFFCC99"/>
      </patternFill>
    </fill>
    <fill>
      <patternFill patternType="solid">
        <fgColor theme="9" tint="0.79998168889431442"/>
        <bgColor indexed="64"/>
      </patternFill>
    </fill>
  </fills>
  <borders count="62">
    <border>
      <left/>
      <right/>
      <top/>
      <bottom/>
      <diagonal/>
    </border>
    <border>
      <left/>
      <right/>
      <top/>
      <bottom style="thin">
        <color theme="0" tint="-4.9989318521683403E-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bottom style="thin">
        <color theme="0" tint="-4.9989318521683403E-2"/>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medium">
        <color indexed="64"/>
      </top>
      <bottom style="thin">
        <color theme="0" tint="-4.9989318521683403E-2"/>
      </bottom>
      <diagonal/>
    </border>
    <border>
      <left/>
      <right/>
      <top style="medium">
        <color indexed="64"/>
      </top>
      <bottom style="thin">
        <color theme="0" tint="-4.9989318521683403E-2"/>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theme="0"/>
      </bottom>
      <diagonal/>
    </border>
    <border>
      <left/>
      <right style="medium">
        <color indexed="64"/>
      </right>
      <top/>
      <bottom style="thin">
        <color theme="0"/>
      </bottom>
      <diagonal/>
    </border>
    <border>
      <left/>
      <right/>
      <top style="thin">
        <color indexed="64"/>
      </top>
      <bottom style="thin">
        <color indexed="64"/>
      </bottom>
      <diagonal/>
    </border>
    <border>
      <left/>
      <right/>
      <top style="double">
        <color indexed="64"/>
      </top>
      <bottom/>
      <diagonal/>
    </border>
    <border>
      <left style="medium">
        <color indexed="64"/>
      </left>
      <right/>
      <top/>
      <bottom style="thin">
        <color theme="0" tint="-0.249977111117893"/>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top style="thin">
        <color theme="0"/>
      </top>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thin">
        <color theme="0"/>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right style="thin">
        <color rgb="FF7F7F7F"/>
      </right>
      <top/>
      <bottom style="thin">
        <color indexed="64"/>
      </bottom>
      <diagonal/>
    </border>
    <border>
      <left style="thin">
        <color rgb="FF7F7F7F"/>
      </left>
      <right/>
      <top style="thin">
        <color rgb="FF7F7F7F"/>
      </top>
      <bottom style="thin">
        <color rgb="FF7F7F7F"/>
      </bottom>
      <diagonal/>
    </border>
    <border>
      <left/>
      <right style="medium">
        <color indexed="64"/>
      </right>
      <top style="double">
        <color indexed="64"/>
      </top>
      <bottom/>
      <diagonal/>
    </border>
    <border>
      <left/>
      <right style="medium">
        <color indexed="64"/>
      </right>
      <top style="medium">
        <color indexed="64"/>
      </top>
      <bottom style="thin">
        <color rgb="FF7F7F7F"/>
      </bottom>
      <diagonal/>
    </border>
    <border>
      <left style="medium">
        <color indexed="64"/>
      </left>
      <right/>
      <top style="medium">
        <color indexed="64"/>
      </top>
      <bottom style="thin">
        <color rgb="FF7F7F7F"/>
      </bottom>
      <diagonal/>
    </border>
    <border>
      <left/>
      <right/>
      <top style="medium">
        <color indexed="64"/>
      </top>
      <bottom style="thin">
        <color rgb="FF7F7F7F"/>
      </bottom>
      <diagonal/>
    </border>
    <border>
      <left style="thin">
        <color rgb="FF7F7F7F"/>
      </left>
      <right/>
      <top style="thin">
        <color rgb="FF7F7F7F"/>
      </top>
      <bottom style="medium">
        <color indexed="64"/>
      </bottom>
      <diagonal/>
    </border>
    <border>
      <left/>
      <right/>
      <top style="thin">
        <color rgb="FF7F7F7F"/>
      </top>
      <bottom style="medium">
        <color indexed="64"/>
      </bottom>
      <diagonal/>
    </border>
    <border>
      <left/>
      <right style="medium">
        <color indexed="64"/>
      </right>
      <top style="thin">
        <color rgb="FF7F7F7F"/>
      </top>
      <bottom style="medium">
        <color indexed="64"/>
      </bottom>
      <diagonal/>
    </border>
    <border>
      <left/>
      <right style="medium">
        <color indexed="64"/>
      </right>
      <top/>
      <bottom style="thin">
        <color theme="0" tint="-4.9989318521683403E-2"/>
      </bottom>
      <diagonal/>
    </border>
    <border>
      <left/>
      <right style="medium">
        <color indexed="64"/>
      </right>
      <top style="thin">
        <color indexed="64"/>
      </top>
      <bottom style="thin">
        <color indexed="64"/>
      </bottom>
      <diagonal/>
    </border>
    <border>
      <left/>
      <right/>
      <top style="thin">
        <color theme="0" tint="-4.9989318521683403E-2"/>
      </top>
      <bottom/>
      <diagonal/>
    </border>
    <border>
      <left/>
      <right style="thin">
        <color rgb="FF7F7F7F"/>
      </right>
      <top style="thin">
        <color rgb="FF7F7F7F"/>
      </top>
      <bottom style="medium">
        <color indexed="64"/>
      </bottom>
      <diagonal/>
    </border>
    <border>
      <left style="thin">
        <color rgb="FF7F7F7F"/>
      </left>
      <right/>
      <top/>
      <bottom/>
      <diagonal/>
    </border>
    <border>
      <left style="thin">
        <color rgb="FF7F7F7F"/>
      </left>
      <right/>
      <top style="thin">
        <color rgb="FF7F7F7F"/>
      </top>
      <bottom/>
      <diagonal/>
    </border>
    <border>
      <left style="thin">
        <color rgb="FF7F7F7F"/>
      </left>
      <right/>
      <top/>
      <bottom style="medium">
        <color indexed="64"/>
      </bottom>
      <diagonal/>
    </border>
    <border>
      <left style="medium">
        <color indexed="64"/>
      </left>
      <right style="thin">
        <color rgb="FF7F7F7F"/>
      </right>
      <top style="thin">
        <color rgb="FF7F7F7F"/>
      </top>
      <bottom style="thin">
        <color rgb="FF7F7F7F"/>
      </bottom>
      <diagonal/>
    </border>
    <border>
      <left/>
      <right style="medium">
        <color indexed="64"/>
      </right>
      <top style="thin">
        <color theme="0" tint="-4.9989318521683403E-2"/>
      </top>
      <bottom/>
      <diagonal/>
    </border>
  </borders>
  <cellStyleXfs count="2">
    <xf numFmtId="0" fontId="0" fillId="0" borderId="0"/>
    <xf numFmtId="0" fontId="12" fillId="3" borderId="37" applyNumberFormat="0" applyAlignment="0" applyProtection="0"/>
  </cellStyleXfs>
  <cellXfs count="313">
    <xf numFmtId="0" fontId="0" fillId="0" borderId="0" xfId="0"/>
    <xf numFmtId="0" fontId="0" fillId="0" borderId="0" xfId="0" applyAlignment="1">
      <alignment vertical="center" wrapText="1"/>
    </xf>
    <xf numFmtId="0" fontId="0" fillId="0" borderId="0" xfId="0" applyAlignment="1">
      <alignment horizontal="center" vertical="center" wrapText="1"/>
    </xf>
    <xf numFmtId="1" fontId="0" fillId="0" borderId="0" xfId="0" applyNumberFormat="1" applyAlignment="1">
      <alignment horizontal="center" vertical="center" wrapText="1"/>
    </xf>
    <xf numFmtId="2" fontId="0" fillId="0" borderId="0" xfId="0" applyNumberFormat="1" applyAlignment="1">
      <alignment horizontal="center" vertical="center" wrapText="1"/>
    </xf>
    <xf numFmtId="2" fontId="0" fillId="0" borderId="0" xfId="0" applyNumberFormat="1" applyAlignment="1">
      <alignment horizontal="left" vertical="center" wrapText="1"/>
    </xf>
    <xf numFmtId="2" fontId="2" fillId="0" borderId="0" xfId="0" applyNumberFormat="1" applyFont="1" applyAlignment="1">
      <alignment horizontal="left" vertical="center" wrapText="1"/>
    </xf>
    <xf numFmtId="165" fontId="0" fillId="0" borderId="0" xfId="0" applyNumberFormat="1" applyAlignment="1">
      <alignment horizontal="center" vertical="center" wrapText="1"/>
    </xf>
    <xf numFmtId="164" fontId="0" fillId="0" borderId="0" xfId="0" applyNumberFormat="1"/>
    <xf numFmtId="165" fontId="0" fillId="0" borderId="0" xfId="0" applyNumberFormat="1"/>
    <xf numFmtId="0" fontId="0" fillId="0" borderId="0" xfId="0" quotePrefix="1" applyAlignment="1">
      <alignment horizontal="left" vertical="top"/>
    </xf>
    <xf numFmtId="0" fontId="7" fillId="0" borderId="0" xfId="0" applyFont="1"/>
    <xf numFmtId="0" fontId="6" fillId="0" borderId="0" xfId="0" applyFont="1" applyAlignment="1">
      <alignment horizontal="left" vertical="center" wrapText="1"/>
    </xf>
    <xf numFmtId="2" fontId="2" fillId="0" borderId="7" xfId="0" applyNumberFormat="1" applyFont="1" applyBorder="1" applyAlignment="1">
      <alignment horizontal="center" vertical="center" wrapText="1"/>
    </xf>
    <xf numFmtId="0" fontId="0" fillId="0" borderId="6" xfId="0" applyBorder="1" applyAlignment="1">
      <alignment vertical="center" wrapText="1"/>
    </xf>
    <xf numFmtId="2" fontId="3" fillId="2" borderId="1" xfId="0"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0" fillId="0" borderId="0" xfId="0" applyNumberFormat="1" applyAlignment="1">
      <alignment horizontal="center" vertical="center" wrapText="1"/>
    </xf>
    <xf numFmtId="0" fontId="8" fillId="0" borderId="0" xfId="0" applyFont="1" applyAlignment="1">
      <alignment vertical="center" wrapText="1"/>
    </xf>
    <xf numFmtId="165" fontId="8" fillId="0" borderId="0" xfId="0" applyNumberFormat="1" applyFont="1" applyAlignment="1">
      <alignment horizontal="center" vertical="center" wrapText="1"/>
    </xf>
    <xf numFmtId="165" fontId="3" fillId="2" borderId="1" xfId="0" applyNumberFormat="1" applyFont="1" applyFill="1" applyBorder="1" applyAlignment="1">
      <alignment horizontal="center" vertical="center" wrapText="1"/>
    </xf>
    <xf numFmtId="0" fontId="8" fillId="0" borderId="0" xfId="0" applyFont="1" applyAlignment="1">
      <alignment horizontal="center" vertical="center" wrapText="1"/>
    </xf>
    <xf numFmtId="0" fontId="0" fillId="0" borderId="0" xfId="0" applyAlignment="1">
      <alignment horizontal="left" vertical="center" wrapText="1"/>
    </xf>
    <xf numFmtId="3" fontId="3" fillId="2" borderId="1" xfId="0" applyNumberFormat="1" applyFont="1" applyFill="1" applyBorder="1" applyAlignment="1">
      <alignment horizontal="center" vertical="center" wrapText="1"/>
    </xf>
    <xf numFmtId="3" fontId="8" fillId="0" borderId="0" xfId="0" applyNumberFormat="1" applyFont="1" applyAlignment="1">
      <alignment horizontal="center" vertical="center" wrapText="1"/>
    </xf>
    <xf numFmtId="0" fontId="0" fillId="0" borderId="14" xfId="0" applyBorder="1" applyAlignment="1">
      <alignment horizontal="left" vertical="center" wrapText="1"/>
    </xf>
    <xf numFmtId="3" fontId="0" fillId="0" borderId="14" xfId="0" applyNumberFormat="1" applyBorder="1" applyAlignment="1">
      <alignment horizontal="center" vertical="center" wrapText="1"/>
    </xf>
    <xf numFmtId="2" fontId="0" fillId="0" borderId="14" xfId="0" applyNumberFormat="1" applyBorder="1" applyAlignment="1">
      <alignment horizontal="center" vertical="center" wrapText="1"/>
    </xf>
    <xf numFmtId="165" fontId="0" fillId="0" borderId="14" xfId="0" applyNumberFormat="1" applyBorder="1" applyAlignment="1">
      <alignment horizontal="center" vertical="center" wrapText="1"/>
    </xf>
    <xf numFmtId="9" fontId="0" fillId="0" borderId="14" xfId="0" applyNumberFormat="1" applyBorder="1" applyAlignment="1">
      <alignment horizontal="center" vertical="center" wrapText="1"/>
    </xf>
    <xf numFmtId="2" fontId="3" fillId="2" borderId="18"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165" fontId="8" fillId="0" borderId="6" xfId="0" applyNumberFormat="1" applyFont="1" applyBorder="1" applyAlignment="1">
      <alignment horizontal="center" vertical="center" wrapText="1"/>
    </xf>
    <xf numFmtId="0" fontId="7" fillId="0" borderId="5" xfId="0" applyFont="1" applyBorder="1" applyAlignment="1">
      <alignment vertical="center" wrapText="1"/>
    </xf>
    <xf numFmtId="0" fontId="7" fillId="0" borderId="5" xfId="0" quotePrefix="1" applyFont="1" applyBorder="1" applyAlignment="1">
      <alignment horizontal="left" vertical="center"/>
    </xf>
    <xf numFmtId="0" fontId="0" fillId="0" borderId="0" xfId="0" quotePrefix="1" applyAlignment="1">
      <alignment horizontal="left" vertical="center"/>
    </xf>
    <xf numFmtId="0" fontId="0" fillId="0" borderId="0" xfId="0" quotePrefix="1" applyAlignment="1">
      <alignment horizontal="center" vertical="center"/>
    </xf>
    <xf numFmtId="165" fontId="0" fillId="0" borderId="0" xfId="0" quotePrefix="1" applyNumberFormat="1" applyAlignment="1">
      <alignment horizontal="center" vertical="center"/>
    </xf>
    <xf numFmtId="165" fontId="0" fillId="0" borderId="6" xfId="0" quotePrefix="1" applyNumberFormat="1" applyBorder="1" applyAlignment="1">
      <alignment horizontal="center" vertical="center"/>
    </xf>
    <xf numFmtId="0" fontId="0" fillId="0" borderId="5" xfId="0" applyBorder="1" applyAlignment="1">
      <alignment vertical="center" wrapText="1"/>
    </xf>
    <xf numFmtId="165" fontId="0" fillId="0" borderId="6" xfId="0" applyNumberFormat="1" applyBorder="1" applyAlignment="1">
      <alignment horizontal="center" vertical="center" wrapText="1"/>
    </xf>
    <xf numFmtId="0" fontId="0" fillId="0" borderId="19" xfId="0" applyBorder="1" applyAlignment="1">
      <alignment vertical="center" wrapText="1"/>
    </xf>
    <xf numFmtId="165" fontId="0" fillId="0" borderId="20" xfId="0" applyNumberForma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horizontal="left" vertical="center" wrapText="1"/>
    </xf>
    <xf numFmtId="3" fontId="2" fillId="0" borderId="7" xfId="0" applyNumberFormat="1" applyFont="1" applyBorder="1" applyAlignment="1">
      <alignment horizontal="center" vertical="center" wrapText="1"/>
    </xf>
    <xf numFmtId="165" fontId="2" fillId="0" borderId="7" xfId="0" applyNumberFormat="1" applyFont="1" applyBorder="1" applyAlignment="1">
      <alignment horizontal="center" vertical="center" wrapText="1"/>
    </xf>
    <xf numFmtId="6" fontId="1" fillId="2" borderId="0" xfId="0" applyNumberFormat="1" applyFont="1" applyFill="1" applyAlignment="1">
      <alignment horizontal="left" vertical="center" wrapText="1"/>
    </xf>
    <xf numFmtId="3" fontId="1" fillId="2" borderId="0" xfId="0" applyNumberFormat="1" applyFont="1" applyFill="1" applyAlignment="1">
      <alignment horizontal="center" vertical="center" wrapText="1"/>
    </xf>
    <xf numFmtId="2" fontId="1" fillId="2" borderId="0" xfId="0" applyNumberFormat="1" applyFont="1" applyFill="1" applyAlignment="1">
      <alignment horizontal="center" vertical="center" wrapText="1"/>
    </xf>
    <xf numFmtId="165" fontId="1" fillId="2" borderId="0" xfId="0" applyNumberFormat="1" applyFont="1" applyFill="1" applyAlignment="1">
      <alignment horizontal="center" vertical="center" wrapText="1"/>
    </xf>
    <xf numFmtId="9" fontId="3" fillId="2" borderId="0" xfId="0" applyNumberFormat="1" applyFont="1" applyFill="1" applyAlignment="1">
      <alignment horizontal="center" vertical="center" wrapText="1"/>
    </xf>
    <xf numFmtId="9" fontId="3" fillId="2" borderId="15" xfId="0" applyNumberFormat="1" applyFont="1" applyFill="1" applyBorder="1" applyAlignment="1">
      <alignment horizontal="center" vertical="center" wrapText="1"/>
    </xf>
    <xf numFmtId="9" fontId="3" fillId="2" borderId="26" xfId="0" applyNumberFormat="1" applyFont="1" applyFill="1" applyBorder="1" applyAlignment="1">
      <alignment horizontal="center" vertical="center" wrapText="1"/>
    </xf>
    <xf numFmtId="0" fontId="2" fillId="0" borderId="23" xfId="0" applyFont="1" applyBorder="1" applyAlignment="1">
      <alignment vertical="center" wrapText="1"/>
    </xf>
    <xf numFmtId="0" fontId="2" fillId="0" borderId="16" xfId="0" applyFont="1" applyBorder="1" applyAlignment="1">
      <alignment horizontal="left" vertical="center" wrapText="1"/>
    </xf>
    <xf numFmtId="9" fontId="2" fillId="0" borderId="16" xfId="0" applyNumberFormat="1" applyFont="1" applyBorder="1" applyAlignment="1">
      <alignment horizontal="center" vertical="center" wrapText="1"/>
    </xf>
    <xf numFmtId="165" fontId="2" fillId="0" borderId="24" xfId="0" applyNumberFormat="1" applyFont="1" applyBorder="1" applyAlignment="1">
      <alignment horizontal="center" vertical="center" wrapText="1"/>
    </xf>
    <xf numFmtId="0" fontId="4" fillId="0" borderId="0" xfId="0" applyFont="1" applyAlignment="1">
      <alignment vertical="center" wrapText="1"/>
    </xf>
    <xf numFmtId="0" fontId="4" fillId="0" borderId="28" xfId="0" applyFont="1" applyBorder="1" applyAlignment="1">
      <alignment vertical="center" wrapText="1"/>
    </xf>
    <xf numFmtId="0" fontId="3" fillId="2" borderId="18" xfId="0" applyFont="1" applyFill="1" applyBorder="1" applyAlignment="1">
      <alignment horizontal="center" vertical="center" wrapText="1"/>
    </xf>
    <xf numFmtId="0" fontId="7" fillId="0" borderId="13" xfId="0" applyFont="1" applyBorder="1" applyAlignment="1">
      <alignment horizontal="left" vertical="center" wrapText="1"/>
    </xf>
    <xf numFmtId="3" fontId="0" fillId="0" borderId="0" xfId="0" quotePrefix="1" applyNumberFormat="1" applyAlignment="1">
      <alignment horizontal="center" vertical="center"/>
    </xf>
    <xf numFmtId="166" fontId="8" fillId="0" borderId="0" xfId="0" applyNumberFormat="1" applyFont="1" applyAlignment="1">
      <alignment horizontal="center" vertical="center" wrapText="1"/>
    </xf>
    <xf numFmtId="0" fontId="0" fillId="0" borderId="0" xfId="0" quotePrefix="1" applyAlignment="1">
      <alignment horizontal="center" vertical="center" wrapText="1"/>
    </xf>
    <xf numFmtId="0" fontId="3" fillId="2" borderId="1" xfId="0" applyFont="1" applyFill="1" applyBorder="1" applyAlignment="1">
      <alignment horizontal="center" vertical="center" wrapText="1"/>
    </xf>
    <xf numFmtId="3" fontId="0" fillId="0" borderId="14" xfId="0" applyNumberFormat="1" applyBorder="1" applyAlignment="1">
      <alignment horizontal="left" vertical="center" wrapText="1"/>
    </xf>
    <xf numFmtId="2" fontId="0" fillId="0" borderId="14" xfId="0" applyNumberFormat="1" applyBorder="1" applyAlignment="1">
      <alignment horizontal="left" vertical="center" wrapText="1"/>
    </xf>
    <xf numFmtId="3" fontId="2" fillId="0" borderId="16" xfId="0" applyNumberFormat="1" applyFont="1" applyBorder="1" applyAlignment="1">
      <alignment horizontal="left" vertical="center" wrapText="1"/>
    </xf>
    <xf numFmtId="2" fontId="2" fillId="0" borderId="16" xfId="0" applyNumberFormat="1" applyFont="1" applyBorder="1" applyAlignment="1">
      <alignment horizontal="left" vertical="center" wrapText="1"/>
    </xf>
    <xf numFmtId="2" fontId="0" fillId="2" borderId="0" xfId="0" applyNumberFormat="1" applyFill="1" applyAlignment="1">
      <alignment horizontal="left" vertical="center" wrapText="1"/>
    </xf>
    <xf numFmtId="1" fontId="0" fillId="0" borderId="32" xfId="0" applyNumberFormat="1" applyBorder="1" applyAlignment="1">
      <alignment horizontal="left" vertical="center" wrapText="1"/>
    </xf>
    <xf numFmtId="1" fontId="0" fillId="0" borderId="32" xfId="0" applyNumberFormat="1" applyBorder="1" applyAlignment="1">
      <alignment horizontal="center" vertical="center" wrapText="1"/>
    </xf>
    <xf numFmtId="1" fontId="0" fillId="0" borderId="0" xfId="0" quotePrefix="1" applyNumberFormat="1" applyAlignment="1">
      <alignment horizontal="center" vertical="center"/>
    </xf>
    <xf numFmtId="165" fontId="10" fillId="0" borderId="0" xfId="0" quotePrefix="1" applyNumberFormat="1" applyFont="1" applyAlignment="1">
      <alignment horizontal="center" vertical="center"/>
    </xf>
    <xf numFmtId="0" fontId="3" fillId="2" borderId="0" xfId="0" applyFont="1" applyFill="1" applyAlignment="1">
      <alignment horizontal="center" vertical="center" wrapText="1"/>
    </xf>
    <xf numFmtId="2" fontId="0" fillId="0" borderId="0" xfId="0" applyNumberFormat="1" applyAlignment="1">
      <alignment horizontal="left" vertical="center"/>
    </xf>
    <xf numFmtId="0" fontId="8" fillId="0" borderId="0" xfId="0" applyFont="1" applyAlignment="1">
      <alignment vertical="center"/>
    </xf>
    <xf numFmtId="2" fontId="0" fillId="0" borderId="0" xfId="0" applyNumberFormat="1" applyAlignment="1">
      <alignment vertical="center" wrapText="1"/>
    </xf>
    <xf numFmtId="0" fontId="0" fillId="0" borderId="0" xfId="0" quotePrefix="1" applyAlignment="1">
      <alignment horizontal="left" vertical="top" wrapText="1"/>
    </xf>
    <xf numFmtId="0" fontId="2" fillId="0" borderId="0" xfId="0" applyFont="1"/>
    <xf numFmtId="0" fontId="2" fillId="0" borderId="0" xfId="0" applyFont="1" applyAlignment="1">
      <alignment horizontal="left" vertical="center" wrapText="1"/>
    </xf>
    <xf numFmtId="0" fontId="8" fillId="0" borderId="0" xfId="0" applyFont="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0" xfId="0" quotePrefix="1" applyFont="1" applyAlignment="1">
      <alignment horizontal="left" vertical="top"/>
    </xf>
    <xf numFmtId="0" fontId="14" fillId="0" borderId="0" xfId="0" quotePrefix="1" applyFont="1" applyAlignment="1">
      <alignment horizontal="left" vertical="top"/>
    </xf>
    <xf numFmtId="2" fontId="2" fillId="0" borderId="0" xfId="0" applyNumberFormat="1" applyFont="1" applyAlignment="1">
      <alignment horizontal="left" vertical="center"/>
    </xf>
    <xf numFmtId="0" fontId="0" fillId="0" borderId="0" xfId="0" applyAlignment="1">
      <alignment wrapText="1"/>
    </xf>
    <xf numFmtId="0" fontId="11" fillId="0" borderId="11"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0" fillId="0" borderId="35" xfId="0" applyBorder="1" applyAlignment="1">
      <alignment horizontal="left" vertical="center" wrapText="1"/>
    </xf>
    <xf numFmtId="0" fontId="2" fillId="0" borderId="33" xfId="0" applyFont="1" applyBorder="1" applyAlignment="1">
      <alignment horizontal="left" vertical="center" wrapText="1"/>
    </xf>
    <xf numFmtId="0" fontId="2" fillId="0" borderId="40" xfId="0" applyFont="1" applyBorder="1" applyAlignment="1">
      <alignment horizontal="left" vertical="center" wrapText="1"/>
    </xf>
    <xf numFmtId="0" fontId="6" fillId="0" borderId="0" xfId="0" applyFont="1" applyAlignment="1">
      <alignment vertical="center" wrapText="1"/>
    </xf>
    <xf numFmtId="0" fontId="0" fillId="0" borderId="0" xfId="0" quotePrefix="1" applyAlignment="1">
      <alignment vertical="center"/>
    </xf>
    <xf numFmtId="0" fontId="5" fillId="0" borderId="0" xfId="0" applyFont="1" applyAlignment="1">
      <alignment vertical="center" wrapText="1"/>
    </xf>
    <xf numFmtId="0" fontId="0" fillId="0" borderId="0" xfId="0" quotePrefix="1" applyAlignment="1">
      <alignment vertical="top" wrapText="1"/>
    </xf>
    <xf numFmtId="0" fontId="0" fillId="0" borderId="0" xfId="0" applyAlignment="1">
      <alignment vertical="top" wrapText="1"/>
    </xf>
    <xf numFmtId="0" fontId="0" fillId="0" borderId="0" xfId="0" applyAlignment="1">
      <alignment vertical="top"/>
    </xf>
    <xf numFmtId="165" fontId="0" fillId="4" borderId="6" xfId="0" quotePrefix="1" applyNumberFormat="1" applyFill="1" applyBorder="1" applyAlignment="1">
      <alignment horizontal="center" vertical="center"/>
    </xf>
    <xf numFmtId="165" fontId="8" fillId="4" borderId="6" xfId="0" applyNumberFormat="1" applyFont="1" applyFill="1" applyBorder="1" applyAlignment="1">
      <alignment horizontal="center" vertical="center" wrapText="1"/>
    </xf>
    <xf numFmtId="0" fontId="0" fillId="0" borderId="5" xfId="0" applyBorder="1" applyAlignment="1">
      <alignment horizontal="center" vertical="center" wrapText="1"/>
    </xf>
    <xf numFmtId="165" fontId="3" fillId="2" borderId="6" xfId="0" applyNumberFormat="1" applyFont="1" applyFill="1" applyBorder="1" applyAlignment="1">
      <alignment horizontal="center" vertical="center" wrapText="1"/>
    </xf>
    <xf numFmtId="165" fontId="2" fillId="0" borderId="8" xfId="0" applyNumberFormat="1" applyFont="1" applyBorder="1" applyAlignment="1">
      <alignment horizontal="center" vertical="center" wrapText="1"/>
    </xf>
    <xf numFmtId="3" fontId="8" fillId="4" borderId="0" xfId="0" applyNumberFormat="1" applyFont="1" applyFill="1" applyAlignment="1">
      <alignment horizontal="center" vertical="center" wrapText="1"/>
    </xf>
    <xf numFmtId="0" fontId="0" fillId="4" borderId="0" xfId="0" quotePrefix="1" applyFill="1" applyAlignment="1">
      <alignment horizontal="center" vertical="center"/>
    </xf>
    <xf numFmtId="165" fontId="2" fillId="4" borderId="8" xfId="0" applyNumberFormat="1" applyFont="1" applyFill="1" applyBorder="1" applyAlignment="1">
      <alignment horizontal="center" vertical="center" wrapText="1"/>
    </xf>
    <xf numFmtId="165" fontId="12" fillId="4" borderId="42" xfId="1" quotePrefix="1" applyNumberFormat="1" applyFill="1" applyBorder="1" applyAlignment="1">
      <alignment horizontal="center" vertical="center"/>
    </xf>
    <xf numFmtId="165" fontId="12" fillId="0" borderId="0" xfId="1" quotePrefix="1" applyNumberFormat="1" applyFill="1" applyBorder="1" applyAlignment="1">
      <alignment horizontal="center" vertical="center"/>
    </xf>
    <xf numFmtId="3" fontId="7" fillId="0" borderId="0" xfId="1" applyNumberFormat="1" applyFont="1" applyFill="1" applyBorder="1" applyAlignment="1">
      <alignment horizontal="center" vertical="center" wrapText="1"/>
    </xf>
    <xf numFmtId="166" fontId="7" fillId="4" borderId="0" xfId="1" applyNumberFormat="1" applyFont="1" applyFill="1" applyBorder="1" applyAlignment="1" applyProtection="1">
      <alignment horizontal="center" vertical="center" wrapText="1"/>
    </xf>
    <xf numFmtId="3" fontId="7" fillId="4" borderId="0" xfId="1" applyNumberFormat="1" applyFont="1" applyFill="1" applyBorder="1" applyAlignment="1">
      <alignment horizontal="center" vertical="center" wrapText="1"/>
    </xf>
    <xf numFmtId="165" fontId="7" fillId="0" borderId="0" xfId="1" quotePrefix="1" applyNumberFormat="1" applyFont="1" applyFill="1" applyBorder="1" applyAlignment="1" applyProtection="1">
      <alignment horizontal="center" vertical="center"/>
    </xf>
    <xf numFmtId="166" fontId="12" fillId="3" borderId="37" xfId="1" applyNumberFormat="1" applyAlignment="1" applyProtection="1">
      <alignment horizontal="center" vertical="center" wrapText="1"/>
      <protection locked="0"/>
    </xf>
    <xf numFmtId="3" fontId="12" fillId="3" borderId="37" xfId="1" applyNumberFormat="1" applyAlignment="1" applyProtection="1">
      <alignment horizontal="center" vertical="center" wrapText="1"/>
      <protection locked="0"/>
    </xf>
    <xf numFmtId="0" fontId="12" fillId="3" borderId="37" xfId="1" quotePrefix="1" applyAlignment="1" applyProtection="1">
      <alignment horizontal="center" vertical="center"/>
      <protection locked="0"/>
    </xf>
    <xf numFmtId="3" fontId="12" fillId="3" borderId="37" xfId="1" quotePrefix="1" applyNumberFormat="1" applyAlignment="1" applyProtection="1">
      <alignment horizontal="center" vertical="center"/>
      <protection locked="0"/>
    </xf>
    <xf numFmtId="0" fontId="12" fillId="3" borderId="37" xfId="1" quotePrefix="1" applyAlignment="1">
      <alignment horizontal="center" vertical="center" wrapText="1"/>
    </xf>
    <xf numFmtId="165" fontId="12" fillId="3" borderId="37" xfId="1" quotePrefix="1" applyNumberFormat="1" applyAlignment="1" applyProtection="1">
      <alignment horizontal="center" vertical="center"/>
      <protection locked="0"/>
    </xf>
    <xf numFmtId="0" fontId="12" fillId="3" borderId="37" xfId="1" applyAlignment="1" applyProtection="1">
      <alignment horizontal="center" vertical="center"/>
      <protection locked="0"/>
    </xf>
    <xf numFmtId="3" fontId="12" fillId="3" borderId="37" xfId="1" applyNumberFormat="1" applyAlignment="1" applyProtection="1">
      <alignment horizontal="center" vertical="center"/>
      <protection locked="0"/>
    </xf>
    <xf numFmtId="1" fontId="12" fillId="3" borderId="37" xfId="1" applyNumberFormat="1" applyAlignment="1" applyProtection="1">
      <alignment horizontal="center" vertical="center"/>
      <protection locked="0"/>
    </xf>
    <xf numFmtId="2" fontId="12" fillId="3" borderId="37" xfId="1" applyNumberFormat="1" applyAlignment="1" applyProtection="1">
      <alignment horizontal="center" vertical="center" wrapText="1"/>
      <protection locked="0"/>
    </xf>
    <xf numFmtId="2" fontId="12" fillId="3" borderId="37" xfId="1" quotePrefix="1" applyNumberFormat="1" applyAlignment="1" applyProtection="1">
      <alignment horizontal="center" vertical="center"/>
      <protection locked="0"/>
    </xf>
    <xf numFmtId="0" fontId="12" fillId="3" borderId="37" xfId="1" quotePrefix="1" applyAlignment="1" applyProtection="1">
      <alignment horizontal="left" vertical="center"/>
      <protection locked="0"/>
    </xf>
    <xf numFmtId="6" fontId="12" fillId="3" borderId="37" xfId="1" applyNumberFormat="1" applyAlignment="1" applyProtection="1">
      <alignment horizontal="left" vertical="center" wrapText="1"/>
      <protection locked="0"/>
    </xf>
    <xf numFmtId="2" fontId="0" fillId="0" borderId="0" xfId="0" quotePrefix="1" applyNumberFormat="1" applyAlignment="1">
      <alignment horizontal="left" vertical="center" wrapText="1"/>
    </xf>
    <xf numFmtId="0" fontId="12" fillId="3" borderId="37" xfId="1" quotePrefix="1" applyAlignment="1" applyProtection="1">
      <alignment horizontal="center" vertical="center" wrapText="1"/>
    </xf>
    <xf numFmtId="166" fontId="12" fillId="3" borderId="37" xfId="1" applyNumberFormat="1" applyAlignment="1" applyProtection="1">
      <alignment horizontal="center" vertical="center" wrapText="1"/>
    </xf>
    <xf numFmtId="3" fontId="12" fillId="3" borderId="37" xfId="1" applyNumberFormat="1" applyAlignment="1" applyProtection="1">
      <alignment horizontal="center" vertical="center" wrapText="1"/>
    </xf>
    <xf numFmtId="165" fontId="3" fillId="2" borderId="0" xfId="0" applyNumberFormat="1" applyFont="1" applyFill="1" applyAlignment="1">
      <alignment horizontal="center" vertical="center" wrapText="1"/>
    </xf>
    <xf numFmtId="2" fontId="3" fillId="2" borderId="0" xfId="0" applyNumberFormat="1" applyFont="1" applyFill="1" applyAlignment="1">
      <alignment horizontal="center" vertical="center" wrapText="1"/>
    </xf>
    <xf numFmtId="1" fontId="0" fillId="0" borderId="5" xfId="0" applyNumberFormat="1" applyBorder="1" applyAlignment="1">
      <alignment horizontal="left" vertical="center" wrapText="1"/>
    </xf>
    <xf numFmtId="0" fontId="4" fillId="0" borderId="29" xfId="0" applyFont="1" applyBorder="1" applyAlignment="1">
      <alignment vertical="center" wrapText="1"/>
    </xf>
    <xf numFmtId="165" fontId="3" fillId="2" borderId="18" xfId="0" applyNumberFormat="1" applyFont="1" applyFill="1" applyBorder="1" applyAlignment="1">
      <alignment horizontal="center" vertical="center" wrapText="1"/>
    </xf>
    <xf numFmtId="0" fontId="7" fillId="0" borderId="0" xfId="0" applyFont="1" applyAlignment="1">
      <alignment horizontal="left" vertical="center" wrapText="1"/>
    </xf>
    <xf numFmtId="3" fontId="12" fillId="0" borderId="0" xfId="1" applyNumberFormat="1" applyFill="1" applyBorder="1" applyAlignment="1" applyProtection="1">
      <alignment horizontal="center" vertical="center" wrapText="1"/>
    </xf>
    <xf numFmtId="0" fontId="0" fillId="0" borderId="0" xfId="0" applyAlignment="1">
      <alignment horizontal="left" vertical="center"/>
    </xf>
    <xf numFmtId="0" fontId="7" fillId="0" borderId="19" xfId="0" quotePrefix="1" applyFont="1" applyBorder="1" applyAlignment="1">
      <alignment horizontal="left" vertical="center"/>
    </xf>
    <xf numFmtId="0" fontId="0" fillId="0" borderId="14" xfId="0" quotePrefix="1" applyBorder="1" applyAlignment="1">
      <alignment horizontal="left" vertical="center"/>
    </xf>
    <xf numFmtId="165" fontId="0" fillId="0" borderId="14" xfId="0" quotePrefix="1" applyNumberFormat="1" applyBorder="1" applyAlignment="1">
      <alignment horizontal="center" vertical="center"/>
    </xf>
    <xf numFmtId="0" fontId="9" fillId="0" borderId="19" xfId="0" quotePrefix="1" applyFont="1" applyBorder="1" applyAlignment="1">
      <alignment horizontal="left" vertical="center"/>
    </xf>
    <xf numFmtId="3" fontId="0" fillId="0" borderId="14" xfId="0" quotePrefix="1" applyNumberFormat="1" applyBorder="1" applyAlignment="1">
      <alignment horizontal="center" vertical="center"/>
    </xf>
    <xf numFmtId="167" fontId="0" fillId="0" borderId="14" xfId="0" quotePrefix="1" applyNumberFormat="1" applyBorder="1" applyAlignment="1">
      <alignment horizontal="center" vertical="center"/>
    </xf>
    <xf numFmtId="0" fontId="9" fillId="0" borderId="5" xfId="0" quotePrefix="1" applyFont="1" applyBorder="1" applyAlignment="1">
      <alignment horizontal="left" vertical="center"/>
    </xf>
    <xf numFmtId="167" fontId="0" fillId="0" borderId="0" xfId="0" quotePrefix="1" applyNumberFormat="1" applyAlignment="1">
      <alignment horizontal="center" vertical="center"/>
    </xf>
    <xf numFmtId="2" fontId="0" fillId="0" borderId="0" xfId="0" quotePrefix="1" applyNumberFormat="1" applyAlignment="1">
      <alignment horizontal="center" vertical="center"/>
    </xf>
    <xf numFmtId="3" fontId="12" fillId="0" borderId="43" xfId="1" quotePrefix="1" applyNumberFormat="1" applyFill="1" applyBorder="1" applyAlignment="1" applyProtection="1">
      <alignment horizontal="center" vertical="center"/>
    </xf>
    <xf numFmtId="0" fontId="3" fillId="2" borderId="1" xfId="0" applyFont="1" applyFill="1" applyBorder="1" applyAlignment="1">
      <alignment horizontal="left" vertical="center" wrapText="1"/>
    </xf>
    <xf numFmtId="3" fontId="3" fillId="2" borderId="0" xfId="0" applyNumberFormat="1" applyFont="1" applyFill="1" applyAlignment="1">
      <alignment horizontal="center" vertical="center" wrapText="1"/>
    </xf>
    <xf numFmtId="0" fontId="0" fillId="0" borderId="5" xfId="0" quotePrefix="1" applyBorder="1" applyAlignment="1">
      <alignment horizontal="left" vertical="center"/>
    </xf>
    <xf numFmtId="0" fontId="0" fillId="0" borderId="19" xfId="0" quotePrefix="1" applyBorder="1" applyAlignment="1">
      <alignment horizontal="left" vertical="center"/>
    </xf>
    <xf numFmtId="0" fontId="0" fillId="0" borderId="14" xfId="0" quotePrefix="1" applyBorder="1" applyAlignment="1">
      <alignment horizontal="center" vertical="center"/>
    </xf>
    <xf numFmtId="6" fontId="0" fillId="0" borderId="0" xfId="0" applyNumberFormat="1" applyAlignment="1">
      <alignment horizontal="left" vertical="center" wrapText="1"/>
    </xf>
    <xf numFmtId="0" fontId="0" fillId="0" borderId="21" xfId="0" applyBorder="1" applyAlignment="1">
      <alignment vertical="center" wrapText="1"/>
    </xf>
    <xf numFmtId="2" fontId="0" fillId="0" borderId="15" xfId="0" applyNumberFormat="1" applyBorder="1" applyAlignment="1">
      <alignment horizontal="center" vertical="center" wrapText="1"/>
    </xf>
    <xf numFmtId="165" fontId="0" fillId="0" borderId="15" xfId="0" applyNumberFormat="1" applyBorder="1" applyAlignment="1">
      <alignment horizontal="center" vertical="center" wrapText="1"/>
    </xf>
    <xf numFmtId="3" fontId="3" fillId="2" borderId="26" xfId="0" applyNumberFormat="1" applyFont="1" applyFill="1" applyBorder="1" applyAlignment="1">
      <alignment horizontal="center" vertical="center" wrapText="1"/>
    </xf>
    <xf numFmtId="2" fontId="3" fillId="2" borderId="26" xfId="0" applyNumberFormat="1" applyFont="1" applyFill="1" applyBorder="1" applyAlignment="1">
      <alignment horizontal="center" vertical="center" wrapText="1"/>
    </xf>
    <xf numFmtId="3" fontId="2" fillId="0" borderId="16" xfId="0" applyNumberFormat="1" applyFont="1" applyBorder="1" applyAlignment="1">
      <alignment horizontal="center" vertical="center" wrapText="1"/>
    </xf>
    <xf numFmtId="2" fontId="2" fillId="0" borderId="16" xfId="0" applyNumberFormat="1" applyFont="1" applyBorder="1" applyAlignment="1">
      <alignment horizontal="center" vertical="center" wrapText="1"/>
    </xf>
    <xf numFmtId="2" fontId="3" fillId="2" borderId="15" xfId="0" applyNumberFormat="1" applyFont="1" applyFill="1" applyBorder="1" applyAlignment="1">
      <alignment horizontal="center" vertical="center" wrapText="1"/>
    </xf>
    <xf numFmtId="3" fontId="12" fillId="0" borderId="44" xfId="1" applyNumberFormat="1" applyFill="1" applyBorder="1" applyAlignment="1" applyProtection="1">
      <alignment horizontal="center" vertical="center" wrapText="1"/>
    </xf>
    <xf numFmtId="165" fontId="12" fillId="4" borderId="0" xfId="1" quotePrefix="1" applyNumberFormat="1" applyFill="1" applyBorder="1" applyAlignment="1">
      <alignment horizontal="center" vertical="center"/>
    </xf>
    <xf numFmtId="165" fontId="8" fillId="4" borderId="0" xfId="0" applyNumberFormat="1" applyFont="1" applyFill="1" applyAlignment="1">
      <alignment horizontal="center" vertical="center" wrapText="1"/>
    </xf>
    <xf numFmtId="165" fontId="0" fillId="4" borderId="0" xfId="0" quotePrefix="1" applyNumberFormat="1" applyFill="1" applyAlignment="1">
      <alignment horizontal="center" vertical="center"/>
    </xf>
    <xf numFmtId="165" fontId="7" fillId="4" borderId="0" xfId="0" applyNumberFormat="1" applyFont="1" applyFill="1" applyAlignment="1">
      <alignment horizontal="center" vertical="center" wrapText="1"/>
    </xf>
    <xf numFmtId="164" fontId="7" fillId="4" borderId="0" xfId="0" applyNumberFormat="1" applyFont="1" applyFill="1" applyAlignment="1">
      <alignment horizontal="center" vertical="center" wrapText="1"/>
    </xf>
    <xf numFmtId="165" fontId="3" fillId="2" borderId="26" xfId="0" applyNumberFormat="1" applyFont="1" applyFill="1" applyBorder="1" applyAlignment="1">
      <alignment horizontal="center" vertical="center" wrapText="1"/>
    </xf>
    <xf numFmtId="165" fontId="2" fillId="0" borderId="16" xfId="0" applyNumberFormat="1" applyFont="1" applyBorder="1" applyAlignment="1">
      <alignment horizontal="center" vertical="center" wrapText="1"/>
    </xf>
    <xf numFmtId="165" fontId="3" fillId="2" borderId="15" xfId="0" applyNumberFormat="1" applyFont="1" applyFill="1" applyBorder="1" applyAlignment="1">
      <alignment horizontal="center" vertical="center" wrapText="1"/>
    </xf>
    <xf numFmtId="165" fontId="2" fillId="4" borderId="7" xfId="0" applyNumberFormat="1" applyFont="1" applyFill="1" applyBorder="1" applyAlignment="1">
      <alignment horizontal="center" vertical="center" wrapText="1"/>
    </xf>
    <xf numFmtId="1" fontId="0" fillId="0" borderId="3" xfId="0" applyNumberFormat="1" applyBorder="1" applyAlignment="1">
      <alignment horizontal="center" vertical="center" wrapText="1"/>
    </xf>
    <xf numFmtId="165" fontId="7" fillId="4" borderId="27" xfId="0" applyNumberFormat="1" applyFont="1" applyFill="1" applyBorder="1" applyAlignment="1">
      <alignment horizontal="center" vertical="center" wrapText="1"/>
    </xf>
    <xf numFmtId="165" fontId="2" fillId="0" borderId="6" xfId="0" applyNumberFormat="1" applyFont="1" applyBorder="1" applyAlignment="1">
      <alignment horizontal="center" vertical="center" wrapText="1"/>
    </xf>
    <xf numFmtId="164" fontId="7" fillId="4" borderId="46" xfId="0" applyNumberFormat="1" applyFont="1" applyFill="1" applyBorder="1" applyAlignment="1">
      <alignment horizontal="center" vertical="center" wrapText="1"/>
    </xf>
    <xf numFmtId="164" fontId="3" fillId="2" borderId="0" xfId="0" applyNumberFormat="1" applyFont="1" applyFill="1" applyAlignment="1">
      <alignment horizontal="center" vertical="center" wrapText="1"/>
    </xf>
    <xf numFmtId="165" fontId="3" fillId="2" borderId="4" xfId="0" applyNumberFormat="1" applyFont="1" applyFill="1" applyBorder="1" applyAlignment="1">
      <alignment horizontal="center" vertical="center" wrapText="1"/>
    </xf>
    <xf numFmtId="165" fontId="2" fillId="0" borderId="22" xfId="0" applyNumberFormat="1" applyFont="1" applyBorder="1" applyAlignment="1">
      <alignment horizontal="center" vertical="center" wrapText="1"/>
    </xf>
    <xf numFmtId="165" fontId="0" fillId="0" borderId="46" xfId="0" applyNumberFormat="1" applyBorder="1" applyAlignment="1">
      <alignment horizontal="center" vertical="center" wrapText="1"/>
    </xf>
    <xf numFmtId="2" fontId="2" fillId="0" borderId="0" xfId="0" applyNumberFormat="1" applyFont="1" applyAlignment="1">
      <alignment horizontal="center" vertical="center" wrapText="1"/>
    </xf>
    <xf numFmtId="1" fontId="0" fillId="0" borderId="31" xfId="0" applyNumberFormat="1" applyBorder="1" applyAlignment="1">
      <alignment horizontal="center" vertical="center" wrapText="1"/>
    </xf>
    <xf numFmtId="165" fontId="8" fillId="0" borderId="55" xfId="0" applyNumberFormat="1" applyFont="1" applyBorder="1" applyAlignment="1">
      <alignment horizontal="center" vertical="center" wrapText="1"/>
    </xf>
    <xf numFmtId="165" fontId="3" fillId="2" borderId="3" xfId="0" applyNumberFormat="1" applyFont="1" applyFill="1" applyBorder="1" applyAlignment="1">
      <alignment horizontal="center" vertical="center" wrapText="1"/>
    </xf>
    <xf numFmtId="0" fontId="0" fillId="0" borderId="5" xfId="0" quotePrefix="1" applyBorder="1" applyAlignment="1">
      <alignment horizontal="left" vertical="top"/>
    </xf>
    <xf numFmtId="165" fontId="2" fillId="0" borderId="2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5" fontId="3" fillId="2" borderId="30" xfId="0" applyNumberFormat="1" applyFont="1" applyFill="1" applyBorder="1" applyAlignment="1">
      <alignment horizontal="center" vertical="center" wrapText="1"/>
    </xf>
    <xf numFmtId="165" fontId="12" fillId="3" borderId="45" xfId="1" quotePrefix="1" applyNumberFormat="1" applyBorder="1" applyAlignment="1" applyProtection="1">
      <alignment horizontal="center" vertical="center"/>
      <protection locked="0"/>
    </xf>
    <xf numFmtId="165" fontId="12" fillId="3" borderId="45" xfId="1" applyNumberFormat="1" applyBorder="1" applyAlignment="1" applyProtection="1">
      <alignment horizontal="center" vertical="center"/>
      <protection locked="0"/>
    </xf>
    <xf numFmtId="165" fontId="12" fillId="0" borderId="0" xfId="1" quotePrefix="1" applyNumberFormat="1" applyFill="1" applyBorder="1" applyAlignment="1" applyProtection="1">
      <alignment horizontal="center" vertical="center"/>
      <protection locked="0"/>
    </xf>
    <xf numFmtId="165" fontId="12" fillId="0" borderId="0" xfId="1" applyNumberFormat="1" applyFill="1" applyBorder="1" applyAlignment="1" applyProtection="1">
      <alignment horizontal="center" vertical="center"/>
      <protection locked="0"/>
    </xf>
    <xf numFmtId="165" fontId="12" fillId="0" borderId="57" xfId="1" quotePrefix="1" applyNumberFormat="1" applyFill="1" applyBorder="1" applyAlignment="1" applyProtection="1">
      <alignment horizontal="center" vertical="center"/>
      <protection locked="0"/>
    </xf>
    <xf numFmtId="165" fontId="12" fillId="0" borderId="58" xfId="1" quotePrefix="1" applyNumberFormat="1" applyFill="1" applyBorder="1" applyAlignment="1" applyProtection="1">
      <alignment horizontal="center" vertical="center"/>
      <protection locked="0"/>
    </xf>
    <xf numFmtId="165" fontId="0" fillId="0" borderId="55" xfId="0" quotePrefix="1" applyNumberFormat="1" applyBorder="1" applyAlignment="1">
      <alignment horizontal="center" vertical="center"/>
    </xf>
    <xf numFmtId="165" fontId="8" fillId="0" borderId="14" xfId="0" applyNumberFormat="1" applyFont="1" applyBorder="1" applyAlignment="1">
      <alignment horizontal="center" vertical="center" wrapText="1"/>
    </xf>
    <xf numFmtId="165" fontId="0" fillId="0" borderId="3" xfId="0" applyNumberFormat="1" applyBorder="1" applyAlignment="1">
      <alignment horizontal="center" vertical="center" wrapText="1"/>
    </xf>
    <xf numFmtId="165" fontId="0" fillId="0" borderId="7" xfId="0" applyNumberFormat="1" applyBorder="1" applyAlignment="1">
      <alignment horizontal="center" vertical="center" wrapText="1"/>
    </xf>
    <xf numFmtId="165" fontId="0" fillId="0" borderId="27" xfId="0" quotePrefix="1" applyNumberFormat="1" applyBorder="1" applyAlignment="1">
      <alignment horizontal="center" vertical="center"/>
    </xf>
    <xf numFmtId="165" fontId="0" fillId="0" borderId="0" xfId="0" applyNumberFormat="1" applyAlignment="1">
      <alignment horizontal="center" vertical="center"/>
    </xf>
    <xf numFmtId="165" fontId="3" fillId="2" borderId="1" xfId="0" quotePrefix="1" applyNumberFormat="1" applyFont="1" applyFill="1" applyBorder="1" applyAlignment="1">
      <alignment horizontal="center" vertical="center" wrapText="1"/>
    </xf>
    <xf numFmtId="0" fontId="0" fillId="0" borderId="36" xfId="0" applyBorder="1" applyAlignment="1">
      <alignment horizontal="left" vertical="center" wrapText="1"/>
    </xf>
    <xf numFmtId="0" fontId="0" fillId="0" borderId="6" xfId="0" quotePrefix="1" applyBorder="1" applyAlignment="1">
      <alignment horizontal="left" vertical="top"/>
    </xf>
    <xf numFmtId="165" fontId="0" fillId="0" borderId="61" xfId="0" quotePrefix="1" applyNumberFormat="1" applyBorder="1" applyAlignment="1">
      <alignment horizontal="center" vertical="center"/>
    </xf>
    <xf numFmtId="2" fontId="0" fillId="0" borderId="5" xfId="0" applyNumberFormat="1" applyBorder="1" applyAlignment="1">
      <alignment horizontal="center" vertical="center" wrapText="1"/>
    </xf>
    <xf numFmtId="0" fontId="0" fillId="0" borderId="5" xfId="0" applyBorder="1" applyAlignment="1">
      <alignment horizontal="left" vertical="center" wrapText="1"/>
    </xf>
    <xf numFmtId="0" fontId="16" fillId="0" borderId="0" xfId="0" quotePrefix="1" applyFont="1" applyAlignment="1">
      <alignment horizontal="left" vertical="top"/>
    </xf>
    <xf numFmtId="0" fontId="15" fillId="0" borderId="0" xfId="0" quotePrefix="1" applyFont="1" applyAlignment="1">
      <alignment horizontal="left" vertical="top" wrapText="1"/>
    </xf>
    <xf numFmtId="0" fontId="15" fillId="0" borderId="0" xfId="0" quotePrefix="1" applyFont="1" applyAlignment="1">
      <alignment horizontal="left" vertical="top"/>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41"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2" fillId="3" borderId="37" xfId="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0" fillId="0" borderId="9" xfId="0" quotePrefix="1" applyBorder="1" applyAlignment="1">
      <alignment horizontal="left" vertical="center" wrapText="1"/>
    </xf>
    <xf numFmtId="0" fontId="0" fillId="0" borderId="7" xfId="0" quotePrefix="1" applyBorder="1" applyAlignment="1">
      <alignment horizontal="left" vertical="center" wrapText="1"/>
    </xf>
    <xf numFmtId="0" fontId="0" fillId="0" borderId="8" xfId="0" quotePrefix="1"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4" fillId="2" borderId="0" xfId="0" applyFont="1" applyFill="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wrapText="1"/>
    </xf>
    <xf numFmtId="0" fontId="0" fillId="0" borderId="0" xfId="0" applyAlignment="1">
      <alignment horizontal="left" wrapText="1"/>
    </xf>
    <xf numFmtId="0" fontId="0" fillId="0" borderId="6" xfId="0" applyBorder="1" applyAlignment="1">
      <alignment horizontal="left" wrapText="1"/>
    </xf>
    <xf numFmtId="0" fontId="0" fillId="0" borderId="39" xfId="0" applyBorder="1" applyAlignment="1">
      <alignment horizontal="center" vertical="center" wrapText="1"/>
    </xf>
    <xf numFmtId="0" fontId="3" fillId="2" borderId="3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12" fillId="4" borderId="50" xfId="1" applyFill="1" applyBorder="1" applyAlignment="1">
      <alignment horizontal="center" vertical="center" wrapText="1"/>
    </xf>
    <xf numFmtId="0" fontId="12" fillId="4" borderId="51" xfId="1" applyFill="1" applyBorder="1" applyAlignment="1">
      <alignment horizontal="center" vertical="center" wrapText="1"/>
    </xf>
    <xf numFmtId="0" fontId="12" fillId="4" borderId="52" xfId="1" applyFill="1" applyBorder="1" applyAlignment="1">
      <alignment horizontal="center" vertical="center" wrapText="1"/>
    </xf>
    <xf numFmtId="0" fontId="12" fillId="3" borderId="50" xfId="1" applyBorder="1" applyAlignment="1" applyProtection="1">
      <alignment horizontal="center" vertical="center" wrapText="1"/>
      <protection locked="0"/>
    </xf>
    <xf numFmtId="0" fontId="12" fillId="3" borderId="51" xfId="1" applyBorder="1" applyAlignment="1" applyProtection="1">
      <alignment horizontal="center" vertical="center" wrapText="1"/>
      <protection locked="0"/>
    </xf>
    <xf numFmtId="0" fontId="12" fillId="3" borderId="52" xfId="1" applyBorder="1" applyAlignment="1" applyProtection="1">
      <alignment horizontal="center" vertical="center" wrapText="1"/>
      <protection locked="0"/>
    </xf>
    <xf numFmtId="0" fontId="12" fillId="3" borderId="56" xfId="1" applyBorder="1" applyAlignment="1" applyProtection="1">
      <alignment horizontal="center" vertical="center" wrapText="1"/>
      <protection locked="0"/>
    </xf>
    <xf numFmtId="0" fontId="12" fillId="3" borderId="59" xfId="1" applyBorder="1" applyAlignment="1" applyProtection="1">
      <alignment horizontal="center" vertical="center" wrapText="1"/>
      <protection locked="0"/>
    </xf>
    <xf numFmtId="0" fontId="12" fillId="3" borderId="7" xfId="1" applyBorder="1" applyAlignment="1" applyProtection="1">
      <alignment horizontal="center" vertical="center" wrapText="1"/>
      <protection locked="0"/>
    </xf>
    <xf numFmtId="0" fontId="12" fillId="3" borderId="8" xfId="1" applyBorder="1" applyAlignment="1" applyProtection="1">
      <alignment horizontal="center" vertical="center" wrapText="1"/>
      <protection locked="0"/>
    </xf>
    <xf numFmtId="2" fontId="0" fillId="0" borderId="0" xfId="0" applyNumberFormat="1" applyAlignment="1">
      <alignment horizontal="left" vertical="center" wrapText="1"/>
    </xf>
    <xf numFmtId="0" fontId="2" fillId="2" borderId="5" xfId="0" applyFont="1" applyFill="1" applyBorder="1" applyAlignment="1">
      <alignment vertical="center" wrapText="1"/>
    </xf>
    <xf numFmtId="165" fontId="2" fillId="2" borderId="6" xfId="0" applyNumberFormat="1" applyFont="1" applyFill="1" applyBorder="1" applyAlignment="1">
      <alignment horizontal="center" vertical="center" wrapText="1"/>
    </xf>
    <xf numFmtId="0" fontId="0" fillId="2" borderId="17" xfId="0" applyFont="1" applyFill="1" applyBorder="1" applyAlignment="1">
      <alignment vertical="center" wrapText="1"/>
    </xf>
    <xf numFmtId="3" fontId="0" fillId="2" borderId="3" xfId="0" applyNumberFormat="1" applyFont="1" applyFill="1" applyBorder="1" applyAlignment="1">
      <alignment horizontal="center" vertical="center" wrapText="1"/>
    </xf>
    <xf numFmtId="0" fontId="0" fillId="2" borderId="13" xfId="0" applyFont="1" applyFill="1" applyBorder="1" applyAlignment="1">
      <alignment horizontal="left" vertical="center" wrapText="1"/>
    </xf>
    <xf numFmtId="0" fontId="0" fillId="2" borderId="0" xfId="0" applyFont="1" applyFill="1" applyAlignment="1">
      <alignment horizontal="center" vertical="center" wrapText="1"/>
    </xf>
    <xf numFmtId="165" fontId="0" fillId="2" borderId="0" xfId="0" applyNumberFormat="1" applyFont="1" applyFill="1" applyAlignment="1">
      <alignment horizontal="center" vertical="center" wrapText="1"/>
    </xf>
    <xf numFmtId="165" fontId="0" fillId="2" borderId="53"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2" fontId="0" fillId="2" borderId="1" xfId="0" applyNumberFormat="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0" fontId="0" fillId="2" borderId="5" xfId="0" applyFont="1" applyFill="1" applyBorder="1" applyAlignment="1">
      <alignment vertical="center" wrapText="1"/>
    </xf>
    <xf numFmtId="0" fontId="0" fillId="2" borderId="26" xfId="0" applyFont="1" applyFill="1" applyBorder="1" applyAlignment="1">
      <alignment horizontal="left" vertical="center" wrapText="1"/>
    </xf>
    <xf numFmtId="0" fontId="0" fillId="2" borderId="25" xfId="0" applyFont="1" applyFill="1" applyBorder="1" applyAlignment="1">
      <alignment vertical="center" wrapText="1"/>
    </xf>
    <xf numFmtId="0" fontId="0" fillId="2" borderId="30" xfId="0" applyFont="1" applyFill="1" applyBorder="1" applyAlignment="1">
      <alignment horizontal="left" vertical="center" wrapText="1"/>
    </xf>
    <xf numFmtId="165" fontId="0" fillId="2" borderId="27" xfId="0" applyNumberFormat="1" applyFont="1" applyFill="1" applyBorder="1" applyAlignment="1">
      <alignment horizontal="center" vertical="center" wrapText="1"/>
    </xf>
    <xf numFmtId="0" fontId="0" fillId="2" borderId="31" xfId="0" applyFont="1" applyFill="1" applyBorder="1" applyAlignment="1">
      <alignment horizontal="left" vertical="center" wrapText="1"/>
    </xf>
    <xf numFmtId="0" fontId="0" fillId="2" borderId="21" xfId="0" applyFont="1" applyFill="1" applyBorder="1" applyAlignment="1">
      <alignment vertical="center" wrapText="1"/>
    </xf>
    <xf numFmtId="0" fontId="0" fillId="2" borderId="15" xfId="0" applyFont="1" applyFill="1" applyBorder="1" applyAlignment="1">
      <alignment horizontal="left" vertical="center" wrapText="1"/>
    </xf>
    <xf numFmtId="165" fontId="0" fillId="2" borderId="22" xfId="0" applyNumberFormat="1" applyFont="1" applyFill="1" applyBorder="1" applyAlignment="1">
      <alignment horizontal="center" vertical="center" wrapText="1"/>
    </xf>
    <xf numFmtId="165" fontId="18" fillId="0" borderId="0" xfId="0" quotePrefix="1" applyNumberFormat="1" applyFont="1" applyAlignment="1">
      <alignment horizontal="center" vertical="center"/>
    </xf>
    <xf numFmtId="165" fontId="19" fillId="4" borderId="0" xfId="0" quotePrefix="1" applyNumberFormat="1" applyFont="1" applyFill="1" applyAlignment="1">
      <alignment horizontal="center" vertical="center"/>
    </xf>
    <xf numFmtId="3" fontId="0" fillId="2" borderId="18" xfId="0" applyNumberFormat="1" applyFont="1" applyFill="1" applyBorder="1" applyAlignment="1">
      <alignment horizontal="center" vertical="center" wrapText="1"/>
    </xf>
    <xf numFmtId="165" fontId="0" fillId="2" borderId="54" xfId="0" applyNumberFormat="1" applyFont="1" applyFill="1" applyBorder="1" applyAlignment="1">
      <alignment horizontal="center" vertical="center" wrapText="1"/>
    </xf>
    <xf numFmtId="164" fontId="0" fillId="2" borderId="6" xfId="0" applyNumberFormat="1" applyFont="1" applyFill="1" applyBorder="1" applyAlignment="1">
      <alignment horizontal="center" vertical="center" wrapText="1"/>
    </xf>
    <xf numFmtId="165" fontId="0" fillId="2" borderId="6" xfId="0" applyNumberFormat="1" applyFont="1" applyFill="1" applyBorder="1" applyAlignment="1">
      <alignment horizontal="center" vertical="center" wrapText="1"/>
    </xf>
    <xf numFmtId="164" fontId="0" fillId="2" borderId="46" xfId="0" applyNumberFormat="1" applyFont="1" applyFill="1" applyBorder="1" applyAlignment="1">
      <alignment horizontal="center" vertical="center" wrapText="1"/>
    </xf>
    <xf numFmtId="3" fontId="0" fillId="2" borderId="0" xfId="0" applyNumberFormat="1" applyFont="1" applyFill="1" applyAlignment="1">
      <alignment horizontal="center" vertical="center" wrapText="1"/>
    </xf>
    <xf numFmtId="165" fontId="20" fillId="0" borderId="0" xfId="1" quotePrefix="1" applyNumberFormat="1" applyFont="1" applyFill="1" applyBorder="1" applyAlignment="1" applyProtection="1">
      <alignment horizontal="center" vertical="center"/>
    </xf>
    <xf numFmtId="165" fontId="21" fillId="0" borderId="0" xfId="1" quotePrefix="1" applyNumberFormat="1" applyFont="1" applyFill="1" applyBorder="1" applyAlignment="1" applyProtection="1">
      <alignment horizontal="center" vertical="center"/>
    </xf>
    <xf numFmtId="2" fontId="0" fillId="2" borderId="0" xfId="0"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2" fontId="0" fillId="2" borderId="18" xfId="0" applyNumberFormat="1" applyFont="1" applyFill="1" applyBorder="1" applyAlignment="1">
      <alignment horizontal="center" vertical="center" wrapText="1"/>
    </xf>
    <xf numFmtId="165" fontId="0" fillId="2" borderId="18" xfId="0" applyNumberFormat="1" applyFont="1" applyFill="1" applyBorder="1" applyAlignment="1">
      <alignment horizontal="center" vertical="center" wrapText="1"/>
    </xf>
    <xf numFmtId="165" fontId="0" fillId="2" borderId="1" xfId="0" quotePrefix="1" applyNumberFormat="1" applyFont="1" applyFill="1" applyBorder="1" applyAlignment="1">
      <alignment horizontal="center" vertical="center" wrapText="1"/>
    </xf>
    <xf numFmtId="0" fontId="17" fillId="2" borderId="60" xfId="1" applyFont="1" applyFill="1" applyBorder="1" applyAlignment="1" applyProtection="1">
      <alignment horizontal="left" vertical="center" wrapText="1"/>
    </xf>
    <xf numFmtId="165" fontId="2" fillId="2" borderId="46" xfId="0" applyNumberFormat="1" applyFont="1" applyFill="1" applyBorder="1" applyAlignment="1">
      <alignment horizontal="center" vertical="center" wrapText="1"/>
    </xf>
    <xf numFmtId="0" fontId="0" fillId="2" borderId="18" xfId="0" applyFont="1" applyFill="1" applyBorder="1" applyAlignment="1">
      <alignment horizontal="left" vertical="center" wrapText="1"/>
    </xf>
    <xf numFmtId="0" fontId="0" fillId="2" borderId="0" xfId="0" applyFont="1" applyFill="1" applyAlignment="1">
      <alignment horizontal="left" vertical="center" wrapText="1"/>
    </xf>
    <xf numFmtId="0" fontId="0" fillId="2" borderId="26" xfId="0" applyFont="1" applyFill="1" applyBorder="1" applyAlignment="1">
      <alignment horizontal="left" vertical="center" wrapText="1"/>
    </xf>
    <xf numFmtId="0" fontId="0" fillId="2" borderId="15" xfId="0" applyFont="1" applyFill="1" applyBorder="1" applyAlignment="1">
      <alignment horizontal="left" vertical="center" wrapText="1"/>
    </xf>
    <xf numFmtId="3" fontId="0" fillId="2" borderId="15" xfId="0" applyNumberFormat="1" applyFont="1" applyFill="1" applyBorder="1" applyAlignment="1">
      <alignment horizontal="center" vertical="center" wrapText="1"/>
    </xf>
  </cellXfs>
  <cellStyles count="2">
    <cellStyle name="Input"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11</xdr:col>
      <xdr:colOff>190159</xdr:colOff>
      <xdr:row>13</xdr:row>
      <xdr:rowOff>149684</xdr:rowOff>
    </xdr:from>
    <xdr:to>
      <xdr:col>11</xdr:col>
      <xdr:colOff>190519</xdr:colOff>
      <xdr:row>13</xdr:row>
      <xdr:rowOff>150044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7A0FA10D-22B5-4FB7-A4BE-DA40E14A2DA5}"/>
                </a:ext>
              </a:extLst>
            </xdr14:cNvPr>
            <xdr14:cNvContentPartPr/>
          </xdr14:nvContentPartPr>
          <xdr14:nvPr macro=""/>
          <xdr14:xfrm>
            <a:off x="8542080" y="3699000"/>
            <a:ext cx="360" cy="360"/>
          </xdr14:xfrm>
        </xdr:contentPart>
      </mc:Choice>
      <mc:Fallback xmlns="">
        <xdr:pic>
          <xdr:nvPicPr>
            <xdr:cNvPr id="2" name="Ink 1">
              <a:extLst>
                <a:ext uri="{FF2B5EF4-FFF2-40B4-BE49-F238E27FC236}">
                  <a16:creationId xmlns:a16="http://schemas.microsoft.com/office/drawing/2014/main" id="{7A0FA10D-22B5-4FB7-A4BE-DA40E14A2DA5}"/>
                </a:ext>
              </a:extLst>
            </xdr:cNvPr>
            <xdr:cNvPicPr/>
          </xdr:nvPicPr>
          <xdr:blipFill>
            <a:blip xmlns:r="http://schemas.openxmlformats.org/officeDocument/2006/relationships" r:embed="rId2"/>
            <a:stretch>
              <a:fillRect/>
            </a:stretch>
          </xdr:blipFill>
          <xdr:spPr>
            <a:xfrm>
              <a:off x="8533080" y="3690360"/>
              <a:ext cx="18000" cy="18000"/>
            </a:xfrm>
            <a:prstGeom prst="rect">
              <a:avLst/>
            </a:prstGeom>
          </xdr:spPr>
        </xdr:pic>
      </mc:Fallback>
    </mc:AlternateContent>
    <xdr:clientData/>
  </xdr:twoCellAnchor>
  <xdr:twoCellAnchor editAs="oneCell">
    <xdr:from>
      <xdr:col>10</xdr:col>
      <xdr:colOff>621502</xdr:colOff>
      <xdr:row>14</xdr:row>
      <xdr:rowOff>170204</xdr:rowOff>
    </xdr:from>
    <xdr:to>
      <xdr:col>10</xdr:col>
      <xdr:colOff>625672</xdr:colOff>
      <xdr:row>14</xdr:row>
      <xdr:rowOff>174374</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FE1FF75-7B8A-4A2C-A4F0-C7CC44C5CEE3}"/>
                </a:ext>
              </a:extLst>
            </xdr14:cNvPr>
            <xdr14:cNvContentPartPr/>
          </xdr14:nvContentPartPr>
          <xdr14:nvPr macro=""/>
          <xdr14:xfrm>
            <a:off x="8111160" y="3719520"/>
            <a:ext cx="360" cy="360"/>
          </xdr14:xfrm>
        </xdr:contentPart>
      </mc:Choice>
      <mc:Fallback xmlns="">
        <xdr:pic>
          <xdr:nvPicPr>
            <xdr:cNvPr id="3" name="Ink 2">
              <a:extLst>
                <a:ext uri="{FF2B5EF4-FFF2-40B4-BE49-F238E27FC236}">
                  <a16:creationId xmlns:a16="http://schemas.microsoft.com/office/drawing/2014/main" id="{0FE1FF75-7B8A-4A2C-A4F0-C7CC44C5CEE3}"/>
                </a:ext>
              </a:extLst>
            </xdr:cNvPr>
            <xdr:cNvPicPr/>
          </xdr:nvPicPr>
          <xdr:blipFill>
            <a:blip xmlns:r="http://schemas.openxmlformats.org/officeDocument/2006/relationships" r:embed="rId2"/>
            <a:stretch>
              <a:fillRect/>
            </a:stretch>
          </xdr:blipFill>
          <xdr:spPr>
            <a:xfrm>
              <a:off x="8102160" y="371052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9-16T14:09:53.907"/>
    </inkml:context>
    <inkml:brush xml:id="br0">
      <inkml:brushProperty name="width" value="0.05" units="cm"/>
      <inkml:brushProperty name="height" value="0.05" units="cm"/>
      <inkml:brushProperty name="ignorePressure" value="1"/>
    </inkml:brush>
  </inkml:definitions>
  <inkml:trace contextRef="#ctx0" brushRef="#br0">0 1,'0'0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9-16T14:09:54.614"/>
    </inkml:context>
    <inkml:brush xml:id="br0">
      <inkml:brushProperty name="width" value="0.05" units="cm"/>
      <inkml:brushProperty name="height" value="0.05" units="cm"/>
      <inkml:brushProperty name="ignorePressure" value="1"/>
    </inkml:brush>
  </inkml:definitions>
  <inkml:trace contextRef="#ctx0" brushRef="#br0">0 0,'0'0</inkml:trace>
</inkm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42720-50F2-4726-A0A1-D733337AE3C3}">
  <sheetPr>
    <tabColor rgb="FF00B050"/>
    <pageSetUpPr fitToPage="1"/>
  </sheetPr>
  <dimension ref="A1:W26"/>
  <sheetViews>
    <sheetView topLeftCell="A8" zoomScale="85" zoomScaleNormal="85" zoomScaleSheetLayoutView="95" workbookViewId="0">
      <selection activeCell="A15" sqref="A15"/>
    </sheetView>
  </sheetViews>
  <sheetFormatPr defaultRowHeight="15" x14ac:dyDescent="0.25"/>
  <cols>
    <col min="1" max="1" width="22.5703125" style="2" customWidth="1"/>
    <col min="2" max="2" width="27.140625" style="1" customWidth="1"/>
    <col min="3" max="3" width="23.42578125" style="1" customWidth="1"/>
    <col min="4" max="5" width="8.5703125" style="4" customWidth="1"/>
    <col min="6" max="6" width="13.85546875" style="4" customWidth="1"/>
    <col min="7" max="9" width="12.5703125" style="5" customWidth="1"/>
    <col min="10" max="10" width="14.42578125" style="3" bestFit="1" customWidth="1"/>
    <col min="11" max="11" width="12.5703125" style="5" customWidth="1"/>
    <col min="12" max="12" width="10.5703125" style="3" customWidth="1"/>
    <col min="13" max="16" width="12.5703125" style="5" customWidth="1"/>
    <col min="17" max="17" width="14.42578125" style="5" customWidth="1"/>
    <col min="18" max="19" width="12.5703125" style="5" customWidth="1"/>
    <col min="20" max="20" width="15.42578125" style="5" customWidth="1"/>
    <col min="21" max="21" width="12.5703125" style="5" customWidth="1"/>
    <col min="22" max="22" width="12.5703125" style="6" customWidth="1"/>
    <col min="23" max="23" width="23" style="1" customWidth="1"/>
    <col min="25" max="25" width="9.5703125" bestFit="1" customWidth="1"/>
    <col min="26" max="26" width="11.5703125" bestFit="1" customWidth="1"/>
  </cols>
  <sheetData>
    <row r="1" spans="1:23" ht="32.25" customHeight="1" x14ac:dyDescent="0.25">
      <c r="A1" s="213" t="s">
        <v>0</v>
      </c>
      <c r="B1" s="214"/>
      <c r="C1" s="214"/>
      <c r="D1" s="214"/>
      <c r="E1" s="214"/>
      <c r="F1" s="214"/>
      <c r="G1" s="215"/>
      <c r="H1" s="90"/>
      <c r="I1" s="90"/>
      <c r="K1" s="3"/>
      <c r="L1" s="90"/>
      <c r="M1" s="90"/>
      <c r="N1" s="90"/>
      <c r="O1" s="90"/>
      <c r="P1" s="90"/>
      <c r="Q1" s="90"/>
      <c r="R1" s="90"/>
      <c r="S1" s="90"/>
      <c r="T1" s="90"/>
      <c r="U1" s="90"/>
      <c r="V1" s="90"/>
      <c r="W1" s="90"/>
    </row>
    <row r="2" spans="1:23" ht="107.25" customHeight="1" x14ac:dyDescent="0.25">
      <c r="A2" s="216" t="s">
        <v>1</v>
      </c>
      <c r="B2" s="217"/>
      <c r="C2" s="217"/>
      <c r="D2" s="217"/>
      <c r="E2" s="217"/>
      <c r="F2" s="217"/>
      <c r="G2" s="218"/>
      <c r="H2" s="1"/>
      <c r="I2" s="1"/>
      <c r="K2" s="3"/>
      <c r="L2" s="1"/>
      <c r="M2" s="1"/>
      <c r="N2" s="1"/>
      <c r="O2" s="1"/>
      <c r="P2" s="1"/>
      <c r="Q2" s="1"/>
      <c r="R2" s="1"/>
      <c r="S2" s="1"/>
      <c r="T2" s="1"/>
      <c r="U2" s="1"/>
      <c r="V2" s="1"/>
    </row>
    <row r="3" spans="1:23" s="102" customFormat="1" ht="54" customHeight="1" x14ac:dyDescent="0.25">
      <c r="A3" s="219" t="s">
        <v>2</v>
      </c>
      <c r="B3" s="220"/>
      <c r="C3" s="220"/>
      <c r="D3" s="220"/>
      <c r="E3" s="220"/>
      <c r="F3" s="220"/>
      <c r="G3" s="221"/>
      <c r="H3" s="101"/>
      <c r="I3" s="101"/>
      <c r="J3" s="101"/>
      <c r="K3" s="210"/>
      <c r="L3" s="101"/>
      <c r="M3" s="101"/>
      <c r="N3" s="101"/>
      <c r="O3" s="101"/>
      <c r="P3" s="101"/>
      <c r="Q3" s="101"/>
      <c r="R3" s="101"/>
      <c r="S3" s="101"/>
      <c r="T3" s="101"/>
      <c r="U3" s="101"/>
      <c r="V3" s="101"/>
      <c r="W3" s="101"/>
    </row>
    <row r="4" spans="1:23" s="102" customFormat="1" ht="40.35" customHeight="1" x14ac:dyDescent="0.25">
      <c r="A4" s="228" t="s">
        <v>3</v>
      </c>
      <c r="B4" s="228"/>
      <c r="C4" s="228"/>
      <c r="D4" s="228"/>
      <c r="E4" s="228"/>
      <c r="F4" s="228"/>
      <c r="G4" s="228"/>
      <c r="H4" s="101"/>
      <c r="I4" s="101"/>
      <c r="J4" s="101"/>
      <c r="K4" s="101"/>
      <c r="L4" s="101"/>
      <c r="M4" s="101"/>
      <c r="N4" s="101"/>
      <c r="O4" s="101"/>
      <c r="P4" s="101"/>
      <c r="Q4" s="101"/>
      <c r="R4" s="101"/>
      <c r="S4" s="101"/>
      <c r="T4" s="101"/>
      <c r="U4" s="101"/>
      <c r="V4" s="101"/>
      <c r="W4" s="101"/>
    </row>
    <row r="5" spans="1:23" ht="57.6" customHeight="1" x14ac:dyDescent="0.25">
      <c r="A5" s="219" t="s">
        <v>4</v>
      </c>
      <c r="B5" s="220"/>
      <c r="C5" s="220"/>
      <c r="D5" s="220"/>
      <c r="E5" s="220"/>
      <c r="F5" s="220"/>
      <c r="G5" s="221"/>
      <c r="H5" s="1"/>
      <c r="I5" s="1"/>
      <c r="J5" s="1"/>
      <c r="L5" s="1"/>
      <c r="M5" s="1"/>
      <c r="N5" s="1"/>
      <c r="O5" s="1"/>
      <c r="P5" s="1"/>
      <c r="Q5" s="1"/>
      <c r="R5" s="1"/>
      <c r="S5" s="1"/>
      <c r="T5" s="1"/>
      <c r="U5" s="1"/>
      <c r="V5" s="1"/>
    </row>
    <row r="6" spans="1:23" ht="92.1" customHeight="1" thickBot="1" x14ac:dyDescent="0.3">
      <c r="A6" s="222" t="s">
        <v>5</v>
      </c>
      <c r="B6" s="223"/>
      <c r="C6" s="223"/>
      <c r="D6" s="223"/>
      <c r="E6" s="223"/>
      <c r="F6" s="223"/>
      <c r="G6" s="224"/>
      <c r="H6" s="1"/>
      <c r="I6" s="1"/>
      <c r="J6" s="1"/>
      <c r="L6" s="1"/>
      <c r="M6" s="1"/>
      <c r="N6" s="1"/>
      <c r="O6" s="1"/>
      <c r="P6" s="1"/>
      <c r="Q6" s="1"/>
      <c r="R6" s="1"/>
      <c r="S6" s="1"/>
      <c r="T6" s="1"/>
      <c r="U6" s="1"/>
      <c r="V6" s="1"/>
    </row>
    <row r="7" spans="1:23" ht="44.45" customHeight="1" thickBot="1" x14ac:dyDescent="0.3">
      <c r="A7" s="22"/>
      <c r="B7" s="81"/>
      <c r="C7" s="22"/>
      <c r="D7" s="22"/>
      <c r="E7" s="22"/>
      <c r="F7" s="22"/>
      <c r="G7" s="22"/>
      <c r="H7" s="22"/>
      <c r="I7" s="22"/>
      <c r="J7" s="22"/>
      <c r="K7" s="22"/>
      <c r="L7" s="22"/>
      <c r="M7" s="22"/>
      <c r="N7" s="22"/>
      <c r="O7" s="22"/>
      <c r="P7" s="22"/>
      <c r="Q7" s="22"/>
      <c r="R7" s="22"/>
      <c r="S7" s="22"/>
      <c r="T7" s="22"/>
      <c r="U7" s="22"/>
      <c r="V7" s="22"/>
      <c r="W7" s="22"/>
    </row>
    <row r="8" spans="1:23" s="11" customFormat="1" ht="46.35" customHeight="1" x14ac:dyDescent="0.25">
      <c r="A8" s="225" t="s">
        <v>6</v>
      </c>
      <c r="B8" s="226"/>
      <c r="C8" s="226"/>
      <c r="D8" s="226"/>
      <c r="E8" s="226"/>
      <c r="F8" s="226"/>
      <c r="G8" s="227"/>
      <c r="H8" s="99"/>
      <c r="I8" s="99"/>
      <c r="J8" s="99"/>
      <c r="K8" s="99"/>
      <c r="L8" s="99"/>
      <c r="M8" s="99"/>
      <c r="N8" s="99"/>
      <c r="O8" s="99"/>
      <c r="P8" s="99"/>
      <c r="Q8" s="99"/>
      <c r="R8" s="99"/>
      <c r="S8" s="99"/>
      <c r="T8" s="99"/>
      <c r="U8" s="99"/>
      <c r="V8" s="99"/>
      <c r="W8" s="99"/>
    </row>
    <row r="9" spans="1:23" s="11" customFormat="1" ht="64.349999999999994" customHeight="1" thickBot="1" x14ac:dyDescent="0.3">
      <c r="A9" s="229" t="s">
        <v>7</v>
      </c>
      <c r="B9" s="230"/>
      <c r="C9" s="230"/>
      <c r="D9" s="230"/>
      <c r="E9" s="230"/>
      <c r="F9" s="230"/>
      <c r="G9" s="231"/>
      <c r="H9" s="97"/>
      <c r="I9" s="97"/>
      <c r="J9" s="97"/>
      <c r="K9" s="97"/>
      <c r="L9" s="97"/>
      <c r="M9" s="97"/>
      <c r="N9" s="97"/>
      <c r="O9" s="97"/>
      <c r="P9" s="97"/>
      <c r="Q9" s="97"/>
      <c r="R9" s="97"/>
      <c r="S9" s="97"/>
      <c r="T9" s="97"/>
      <c r="U9" s="97"/>
      <c r="V9" s="97"/>
      <c r="W9" s="97"/>
    </row>
    <row r="10" spans="1:23" ht="68.45" customHeight="1" x14ac:dyDescent="0.25">
      <c r="A10" s="232" t="s">
        <v>8</v>
      </c>
      <c r="B10" s="233"/>
      <c r="C10" s="233"/>
      <c r="D10" s="233"/>
      <c r="E10" s="233"/>
      <c r="F10" s="233"/>
      <c r="G10" s="234"/>
      <c r="H10" s="18"/>
      <c r="I10" s="18"/>
      <c r="J10" s="18"/>
      <c r="K10" s="18"/>
      <c r="L10" s="18"/>
      <c r="M10" s="18"/>
      <c r="N10" s="18"/>
      <c r="O10" s="18"/>
      <c r="P10" s="18"/>
      <c r="Q10" s="18"/>
      <c r="R10" s="18"/>
      <c r="S10" s="18"/>
      <c r="T10" s="18"/>
      <c r="U10" s="18"/>
      <c r="V10" s="18"/>
      <c r="W10" s="18"/>
    </row>
    <row r="11" spans="1:23" ht="65.099999999999994" customHeight="1" thickBot="1" x14ac:dyDescent="0.3">
      <c r="A11" s="235" t="s">
        <v>9</v>
      </c>
      <c r="B11" s="236"/>
      <c r="C11" s="236"/>
      <c r="D11" s="236"/>
      <c r="E11" s="236"/>
      <c r="F11" s="236"/>
      <c r="G11" s="237"/>
      <c r="H11" s="98"/>
      <c r="I11" s="98"/>
      <c r="J11" s="98"/>
      <c r="K11" s="98"/>
      <c r="L11" s="98"/>
      <c r="M11" s="98"/>
      <c r="N11" s="98"/>
      <c r="O11" s="98"/>
      <c r="P11" s="98"/>
      <c r="Q11" s="98"/>
      <c r="R11" s="98"/>
      <c r="S11" s="98"/>
      <c r="T11" s="98"/>
      <c r="U11" s="98"/>
      <c r="V11" s="98"/>
      <c r="W11" s="98"/>
    </row>
    <row r="12" spans="1:23" x14ac:dyDescent="0.25">
      <c r="B12" s="10"/>
      <c r="C12" s="10"/>
      <c r="D12" s="10"/>
      <c r="E12" s="10"/>
      <c r="F12" s="10"/>
      <c r="G12" s="10"/>
    </row>
    <row r="13" spans="1:23" x14ac:dyDescent="0.25">
      <c r="A13" s="211" t="s">
        <v>182</v>
      </c>
      <c r="B13" s="212"/>
      <c r="C13" s="212"/>
      <c r="D13" s="212"/>
      <c r="E13" s="212"/>
      <c r="F13" s="212"/>
      <c r="G13" s="212"/>
    </row>
    <row r="14" spans="1:23" ht="24.75" customHeight="1" x14ac:dyDescent="0.25">
      <c r="A14" s="212"/>
      <c r="B14" s="212"/>
      <c r="C14" s="212"/>
      <c r="D14" s="212"/>
      <c r="E14" s="212"/>
      <c r="F14" s="212"/>
      <c r="G14" s="212"/>
    </row>
    <row r="15" spans="1:23" x14ac:dyDescent="0.25">
      <c r="A15" s="10"/>
      <c r="B15" s="10"/>
      <c r="C15" s="10"/>
      <c r="D15" s="10"/>
      <c r="E15" s="10"/>
      <c r="F15" s="10"/>
      <c r="G15" s="10"/>
    </row>
    <row r="16" spans="1:23" x14ac:dyDescent="0.25">
      <c r="A16" s="10"/>
      <c r="B16" s="10"/>
      <c r="C16" s="10"/>
      <c r="D16" s="10"/>
      <c r="E16" s="10"/>
      <c r="F16" s="10"/>
      <c r="G16" s="10"/>
    </row>
    <row r="17" spans="1:23" x14ac:dyDescent="0.25">
      <c r="A17" s="10"/>
      <c r="B17" s="10"/>
      <c r="C17" s="10"/>
      <c r="D17" s="10"/>
      <c r="E17" s="10"/>
      <c r="F17" s="10"/>
      <c r="G17" s="10"/>
    </row>
    <row r="18" spans="1:23" x14ac:dyDescent="0.25">
      <c r="A18" s="10"/>
      <c r="B18" s="10"/>
      <c r="C18" s="10"/>
      <c r="D18" s="10"/>
      <c r="E18" s="10"/>
      <c r="F18" s="10"/>
      <c r="G18" s="10"/>
    </row>
    <row r="19" spans="1:23" x14ac:dyDescent="0.25">
      <c r="A19" s="10"/>
      <c r="B19" s="10"/>
      <c r="C19" s="10"/>
      <c r="D19" s="10"/>
      <c r="E19" s="10"/>
      <c r="F19" s="10"/>
      <c r="G19" s="10"/>
    </row>
    <row r="20" spans="1:23" s="5" customFormat="1" x14ac:dyDescent="0.25">
      <c r="A20" s="10"/>
      <c r="B20" s="10"/>
      <c r="C20" s="10"/>
      <c r="D20" s="10"/>
      <c r="E20" s="10"/>
      <c r="F20" s="10"/>
      <c r="G20" s="10"/>
      <c r="J20" s="3"/>
      <c r="L20" s="3"/>
      <c r="V20" s="6"/>
      <c r="W20" s="1"/>
    </row>
    <row r="21" spans="1:23" s="5" customFormat="1" x14ac:dyDescent="0.25">
      <c r="A21" s="10"/>
      <c r="B21" s="10"/>
      <c r="C21" s="10"/>
      <c r="D21" s="10"/>
      <c r="E21" s="10"/>
      <c r="F21" s="10"/>
      <c r="G21" s="10"/>
      <c r="J21" s="3"/>
      <c r="L21" s="3"/>
      <c r="V21" s="6"/>
      <c r="W21" s="1"/>
    </row>
    <row r="22" spans="1:23" s="5" customFormat="1" x14ac:dyDescent="0.25">
      <c r="A22" s="10"/>
      <c r="B22" s="10"/>
      <c r="C22" s="10"/>
      <c r="D22" s="10"/>
      <c r="E22" s="10"/>
      <c r="F22" s="10"/>
      <c r="G22" s="10"/>
      <c r="J22" s="3"/>
      <c r="L22" s="3"/>
      <c r="V22" s="6"/>
      <c r="W22" s="1"/>
    </row>
    <row r="23" spans="1:23" s="5" customFormat="1" x14ac:dyDescent="0.25">
      <c r="A23" s="10"/>
      <c r="B23" s="10"/>
      <c r="C23" s="10"/>
      <c r="D23" s="10"/>
      <c r="E23" s="10"/>
      <c r="F23" s="10"/>
      <c r="G23" s="10"/>
      <c r="J23" s="3"/>
      <c r="L23" s="3"/>
      <c r="V23" s="6"/>
      <c r="W23" s="1"/>
    </row>
    <row r="24" spans="1:23" s="5" customFormat="1" x14ac:dyDescent="0.25">
      <c r="A24" s="10"/>
      <c r="B24" s="10"/>
      <c r="C24" s="10"/>
      <c r="D24" s="10"/>
      <c r="E24" s="10"/>
      <c r="F24" s="10"/>
      <c r="G24" s="10"/>
      <c r="J24" s="3"/>
      <c r="L24" s="3"/>
      <c r="V24" s="6"/>
      <c r="W24" s="1"/>
    </row>
    <row r="25" spans="1:23" s="5" customFormat="1" x14ac:dyDescent="0.25">
      <c r="A25" s="10"/>
      <c r="B25" s="10"/>
      <c r="C25" s="10"/>
      <c r="D25" s="10"/>
      <c r="E25" s="10"/>
      <c r="F25" s="10"/>
      <c r="G25" s="10"/>
      <c r="J25" s="3"/>
      <c r="L25" s="3"/>
      <c r="V25" s="6"/>
      <c r="W25" s="1"/>
    </row>
    <row r="26" spans="1:23" x14ac:dyDescent="0.25">
      <c r="A26" s="10"/>
      <c r="B26" s="10"/>
      <c r="C26" s="10"/>
      <c r="D26" s="10"/>
      <c r="E26" s="10"/>
      <c r="F26" s="10"/>
      <c r="G26" s="10"/>
    </row>
  </sheetData>
  <mergeCells count="11">
    <mergeCell ref="A13:G14"/>
    <mergeCell ref="A1:G1"/>
    <mergeCell ref="A2:G2"/>
    <mergeCell ref="A5:G5"/>
    <mergeCell ref="A6:G6"/>
    <mergeCell ref="A8:G8"/>
    <mergeCell ref="A4:G4"/>
    <mergeCell ref="A3:G3"/>
    <mergeCell ref="A9:G9"/>
    <mergeCell ref="A10:G10"/>
    <mergeCell ref="A11:G11"/>
  </mergeCells>
  <pageMargins left="0.25" right="0.25" top="0.75" bottom="0.75" header="0.3" footer="0.3"/>
  <pageSetup scale="87" fitToHeight="0" orientation="portrait" r:id="rId1"/>
  <headerFooter>
    <oddHeader>&amp;A</oddHeader>
    <oddFooter>Page &amp;P of &amp;N</oddFooter>
  </headerFooter>
  <rowBreaks count="1" manualBreakCount="1">
    <brk id="7"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736FF-1BEC-4E1E-AAAC-230318E4A532}">
  <sheetPr>
    <pageSetUpPr fitToPage="1"/>
  </sheetPr>
  <dimension ref="A1:AJ35"/>
  <sheetViews>
    <sheetView zoomScaleNormal="100" workbookViewId="0">
      <selection activeCell="K33" sqref="K33"/>
    </sheetView>
  </sheetViews>
  <sheetFormatPr defaultRowHeight="15" x14ac:dyDescent="0.25"/>
  <cols>
    <col min="1" max="1" width="8.5703125" style="2" customWidth="1"/>
    <col min="2" max="2" width="26" style="1" customWidth="1"/>
    <col min="3" max="3" width="13.42578125" style="4" customWidth="1"/>
    <col min="4" max="4" width="8.5703125" style="4" customWidth="1"/>
    <col min="5" max="5" width="12.42578125" style="3" customWidth="1"/>
    <col min="6" max="6" width="16" style="3" hidden="1" customWidth="1"/>
    <col min="7" max="7" width="16" style="3" customWidth="1"/>
    <col min="8" max="8" width="12.5703125" style="3" hidden="1" customWidth="1"/>
    <col min="9" max="9" width="12.5703125" style="3" customWidth="1"/>
    <col min="10" max="10" width="14" style="4" customWidth="1"/>
    <col min="11" max="11" width="23.42578125" style="5" customWidth="1"/>
    <col min="12" max="12" width="23.8554687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63" customHeight="1" x14ac:dyDescent="0.25">
      <c r="A2" s="10"/>
      <c r="B2" s="256" t="s">
        <v>107</v>
      </c>
      <c r="C2" s="257"/>
      <c r="D2" s="257"/>
      <c r="E2" s="257"/>
      <c r="F2" s="257"/>
      <c r="G2" s="257"/>
      <c r="H2" s="257"/>
      <c r="I2" s="258"/>
      <c r="J2" s="10"/>
      <c r="K2" s="121" t="s">
        <v>98</v>
      </c>
      <c r="L2" s="130"/>
    </row>
    <row r="3" spans="1:36" s="5" customFormat="1" ht="15.75" customHeight="1" thickBot="1" x14ac:dyDescent="0.3">
      <c r="A3" s="10"/>
      <c r="B3" s="262" t="s">
        <v>99</v>
      </c>
      <c r="C3" s="263"/>
      <c r="D3" s="263"/>
      <c r="E3" s="263"/>
      <c r="F3" s="263"/>
      <c r="G3" s="263"/>
      <c r="H3" s="263"/>
      <c r="I3" s="264"/>
      <c r="J3" s="10"/>
      <c r="K3" s="79"/>
      <c r="S3" s="3"/>
      <c r="U3" s="3"/>
      <c r="AE3" s="6"/>
      <c r="AF3" s="1"/>
      <c r="AG3"/>
      <c r="AH3"/>
      <c r="AI3"/>
      <c r="AJ3"/>
    </row>
    <row r="4" spans="1:36" s="5" customFormat="1" x14ac:dyDescent="0.25">
      <c r="A4" s="10"/>
      <c r="B4" s="272" t="s">
        <v>48</v>
      </c>
      <c r="C4" s="60"/>
      <c r="D4" s="60"/>
      <c r="E4" s="293" t="s">
        <v>49</v>
      </c>
      <c r="F4" s="30"/>
      <c r="G4" s="30"/>
      <c r="H4" s="138"/>
      <c r="I4" s="181"/>
      <c r="J4" s="10"/>
      <c r="K4" s="79"/>
      <c r="S4" s="3"/>
      <c r="U4" s="3"/>
      <c r="AE4" s="6"/>
      <c r="AF4" s="1"/>
      <c r="AG4"/>
      <c r="AH4"/>
      <c r="AI4"/>
      <c r="AJ4"/>
    </row>
    <row r="5" spans="1:36" s="5" customFormat="1" ht="18.600000000000001" customHeight="1" x14ac:dyDescent="0.25">
      <c r="A5" s="10"/>
      <c r="B5" s="31" t="s">
        <v>50</v>
      </c>
      <c r="C5" s="21" t="s">
        <v>51</v>
      </c>
      <c r="E5" s="24">
        <f>E6*5280</f>
        <v>7920</v>
      </c>
      <c r="F5" s="21"/>
      <c r="G5" s="21"/>
      <c r="H5" s="19"/>
      <c r="I5" s="32"/>
      <c r="J5" s="10"/>
      <c r="K5" s="79"/>
      <c r="S5" s="3"/>
      <c r="U5" s="3"/>
      <c r="AE5" s="6"/>
      <c r="AF5" s="1"/>
      <c r="AG5"/>
      <c r="AH5"/>
      <c r="AI5"/>
      <c r="AJ5"/>
    </row>
    <row r="6" spans="1:36" s="5" customFormat="1" ht="15.75" x14ac:dyDescent="0.25">
      <c r="A6" s="10"/>
      <c r="B6" s="31" t="s">
        <v>50</v>
      </c>
      <c r="C6" s="21" t="s">
        <v>52</v>
      </c>
      <c r="E6" s="117">
        <v>1.5</v>
      </c>
      <c r="F6" s="21"/>
      <c r="G6" s="21"/>
      <c r="H6" s="19"/>
      <c r="I6" s="32"/>
      <c r="J6" s="10"/>
      <c r="K6" s="79"/>
      <c r="S6" s="3"/>
      <c r="U6" s="3"/>
      <c r="AE6" s="6"/>
      <c r="AF6" s="1"/>
      <c r="AG6"/>
      <c r="AH6"/>
      <c r="AI6"/>
      <c r="AJ6"/>
    </row>
    <row r="7" spans="1:36" s="5" customFormat="1" ht="15.75" x14ac:dyDescent="0.25">
      <c r="A7" s="10"/>
      <c r="B7" s="33" t="s">
        <v>53</v>
      </c>
      <c r="C7" s="2" t="s">
        <v>54</v>
      </c>
      <c r="E7" s="118">
        <v>12</v>
      </c>
      <c r="F7" s="7"/>
      <c r="G7" s="7"/>
      <c r="H7" s="19"/>
      <c r="I7" s="32"/>
      <c r="J7" s="10"/>
      <c r="K7" s="79"/>
      <c r="S7" s="3"/>
      <c r="U7" s="3"/>
      <c r="AE7" s="6"/>
      <c r="AF7" s="1"/>
      <c r="AG7"/>
      <c r="AH7"/>
      <c r="AI7"/>
      <c r="AJ7"/>
    </row>
    <row r="8" spans="1:36" s="5" customFormat="1" ht="16.350000000000001" customHeight="1" x14ac:dyDescent="0.25">
      <c r="A8" s="10"/>
      <c r="B8" s="34" t="s">
        <v>55</v>
      </c>
      <c r="C8" s="64" t="s">
        <v>51</v>
      </c>
      <c r="E8" s="118">
        <v>40</v>
      </c>
      <c r="F8" s="7"/>
      <c r="G8" s="7"/>
      <c r="H8" s="19"/>
      <c r="I8" s="32"/>
      <c r="J8" s="10"/>
      <c r="K8" s="79"/>
      <c r="S8" s="3"/>
      <c r="U8" s="3"/>
      <c r="AE8" s="6"/>
      <c r="AF8" s="1"/>
      <c r="AG8"/>
      <c r="AH8"/>
      <c r="AI8"/>
      <c r="AJ8"/>
    </row>
    <row r="9" spans="1:36" s="5" customFormat="1" ht="15.75" x14ac:dyDescent="0.25">
      <c r="A9" s="10"/>
      <c r="B9" s="34"/>
      <c r="C9" s="64"/>
      <c r="E9" s="24"/>
      <c r="F9" s="37"/>
      <c r="G9" s="37"/>
      <c r="H9" s="19"/>
      <c r="I9" s="32"/>
      <c r="J9" s="10"/>
      <c r="K9" s="79"/>
      <c r="S9" s="3"/>
      <c r="U9" s="3"/>
      <c r="AE9" s="6"/>
      <c r="AF9" s="1"/>
      <c r="AG9"/>
      <c r="AH9"/>
      <c r="AI9"/>
      <c r="AJ9"/>
    </row>
    <row r="10" spans="1:36" s="5" customFormat="1" x14ac:dyDescent="0.25">
      <c r="A10" s="10"/>
      <c r="B10" s="274" t="s">
        <v>56</v>
      </c>
      <c r="C10" s="65"/>
      <c r="D10" s="70"/>
      <c r="E10" s="278" t="s">
        <v>49</v>
      </c>
      <c r="F10" s="20" t="s">
        <v>57</v>
      </c>
      <c r="G10" s="281" t="s">
        <v>58</v>
      </c>
      <c r="H10" s="20" t="s">
        <v>59</v>
      </c>
      <c r="I10" s="281" t="s">
        <v>60</v>
      </c>
      <c r="J10" s="10"/>
      <c r="K10" s="79"/>
      <c r="S10" s="3"/>
      <c r="U10" s="3"/>
      <c r="AE10" s="6"/>
      <c r="AF10" s="1"/>
      <c r="AG10"/>
      <c r="AH10"/>
      <c r="AI10"/>
      <c r="AJ10"/>
    </row>
    <row r="11" spans="1:36" s="5" customFormat="1" ht="15.75" x14ac:dyDescent="0.25">
      <c r="A11" s="10"/>
      <c r="B11" s="34" t="s">
        <v>61</v>
      </c>
      <c r="C11" s="64" t="s">
        <v>54</v>
      </c>
      <c r="E11" s="24">
        <f>E5/300+E7</f>
        <v>38.4</v>
      </c>
      <c r="F11" s="37">
        <v>500</v>
      </c>
      <c r="G11" s="37">
        <f>F11*1.0923</f>
        <v>546.15</v>
      </c>
      <c r="H11" s="19">
        <f>E11*F11</f>
        <v>19200</v>
      </c>
      <c r="I11" s="32">
        <f>H11*1.0923</f>
        <v>20972.16</v>
      </c>
      <c r="J11" s="10"/>
      <c r="K11" s="79"/>
      <c r="S11" s="3"/>
      <c r="U11" s="3"/>
      <c r="AE11" s="6"/>
      <c r="AF11" s="1"/>
      <c r="AG11"/>
      <c r="AH11"/>
      <c r="AI11"/>
      <c r="AJ11"/>
    </row>
    <row r="12" spans="1:36" s="5" customFormat="1" ht="30" x14ac:dyDescent="0.25">
      <c r="A12" s="10"/>
      <c r="B12" s="61" t="s">
        <v>62</v>
      </c>
      <c r="C12" s="64" t="s">
        <v>51</v>
      </c>
      <c r="E12" s="24">
        <f>E5-(E7*E8)</f>
        <v>7440</v>
      </c>
      <c r="F12" s="37">
        <v>20</v>
      </c>
      <c r="G12" s="37">
        <f t="shared" ref="G12:G15" si="0">F12*1.0923</f>
        <v>21.846</v>
      </c>
      <c r="H12" s="19">
        <f>E12*F12</f>
        <v>148800</v>
      </c>
      <c r="I12" s="32">
        <f t="shared" ref="I12:I15" si="1">H12*1.0923</f>
        <v>162534.24000000002</v>
      </c>
      <c r="J12" s="10"/>
      <c r="K12" s="79"/>
      <c r="S12" s="3"/>
      <c r="U12" s="3"/>
      <c r="AE12" s="6"/>
      <c r="AF12" s="1"/>
      <c r="AG12"/>
      <c r="AH12"/>
      <c r="AI12"/>
      <c r="AJ12"/>
    </row>
    <row r="13" spans="1:36" s="5" customFormat="1" ht="45" x14ac:dyDescent="0.25">
      <c r="A13" s="10"/>
      <c r="B13" s="61" t="s">
        <v>63</v>
      </c>
      <c r="C13" s="64" t="s">
        <v>51</v>
      </c>
      <c r="E13" s="24">
        <f>E5-(E7*E9)*4.25</f>
        <v>7920</v>
      </c>
      <c r="F13" s="37">
        <v>20</v>
      </c>
      <c r="G13" s="37">
        <f t="shared" si="0"/>
        <v>21.846</v>
      </c>
      <c r="H13" s="19">
        <f>E13*F13</f>
        <v>158400</v>
      </c>
      <c r="I13" s="32">
        <f t="shared" si="1"/>
        <v>173020.32</v>
      </c>
      <c r="J13" s="10"/>
      <c r="K13" s="79"/>
      <c r="S13" s="3"/>
      <c r="U13" s="3"/>
      <c r="AE13" s="6"/>
      <c r="AF13" s="1"/>
      <c r="AG13"/>
      <c r="AH13"/>
      <c r="AI13"/>
      <c r="AJ13"/>
    </row>
    <row r="14" spans="1:36" s="5" customFormat="1" ht="30" x14ac:dyDescent="0.25">
      <c r="A14" s="10"/>
      <c r="B14" s="61" t="s">
        <v>64</v>
      </c>
      <c r="C14" s="64" t="s">
        <v>51</v>
      </c>
      <c r="D14" s="24"/>
      <c r="E14" s="119">
        <v>0</v>
      </c>
      <c r="F14" s="37">
        <v>20</v>
      </c>
      <c r="G14" s="37">
        <f t="shared" si="0"/>
        <v>21.846</v>
      </c>
      <c r="H14" s="19">
        <f>E14*F14</f>
        <v>0</v>
      </c>
      <c r="I14" s="32">
        <f t="shared" si="1"/>
        <v>0</v>
      </c>
      <c r="J14" s="10"/>
      <c r="K14" s="79"/>
      <c r="S14" s="3"/>
      <c r="U14" s="3"/>
      <c r="AE14" s="6"/>
      <c r="AF14" s="1"/>
      <c r="AG14"/>
      <c r="AH14"/>
      <c r="AI14"/>
      <c r="AJ14"/>
    </row>
    <row r="15" spans="1:36" s="5" customFormat="1" ht="15.75" x14ac:dyDescent="0.25">
      <c r="A15" s="10"/>
      <c r="B15" s="61" t="s">
        <v>65</v>
      </c>
      <c r="C15" s="64" t="s">
        <v>66</v>
      </c>
      <c r="D15" s="24"/>
      <c r="E15" s="24">
        <f>((E8+20)*E7)*6</f>
        <v>4320</v>
      </c>
      <c r="F15" s="37">
        <v>20</v>
      </c>
      <c r="G15" s="37">
        <f t="shared" si="0"/>
        <v>21.846</v>
      </c>
      <c r="H15" s="19">
        <f>E15*F15</f>
        <v>86400</v>
      </c>
      <c r="I15" s="32">
        <f t="shared" si="1"/>
        <v>94374.720000000001</v>
      </c>
      <c r="J15" s="10"/>
      <c r="K15" s="79"/>
      <c r="S15" s="3"/>
      <c r="U15" s="3"/>
      <c r="AE15" s="6"/>
      <c r="AF15" s="1"/>
      <c r="AG15"/>
      <c r="AH15"/>
      <c r="AI15"/>
      <c r="AJ15"/>
    </row>
    <row r="16" spans="1:36" ht="30" x14ac:dyDescent="0.25">
      <c r="B16" s="274" t="s">
        <v>67</v>
      </c>
      <c r="C16" s="278" t="s">
        <v>68</v>
      </c>
      <c r="D16" s="279" t="s">
        <v>69</v>
      </c>
      <c r="E16" s="280" t="s">
        <v>49</v>
      </c>
      <c r="F16" s="20" t="s">
        <v>57</v>
      </c>
      <c r="G16" s="281" t="s">
        <v>58</v>
      </c>
      <c r="H16" s="20" t="s">
        <v>59</v>
      </c>
      <c r="I16" s="281" t="s">
        <v>60</v>
      </c>
    </row>
    <row r="17" spans="1:36" ht="15.75" x14ac:dyDescent="0.25">
      <c r="B17" s="71" t="s">
        <v>70</v>
      </c>
      <c r="C17" s="36" t="s">
        <v>71</v>
      </c>
      <c r="D17" s="24">
        <v>3</v>
      </c>
      <c r="E17" s="62">
        <f>E6*2+E7+2</f>
        <v>17</v>
      </c>
      <c r="F17" s="37">
        <v>50</v>
      </c>
      <c r="G17" s="37">
        <f>F17*1.0923</f>
        <v>54.615000000000002</v>
      </c>
      <c r="H17" s="37">
        <f>D17*E17*F17</f>
        <v>2550</v>
      </c>
      <c r="I17" s="38">
        <f>H17*1.0923</f>
        <v>2785.3650000000002</v>
      </c>
    </row>
    <row r="18" spans="1:36" s="4" customFormat="1" x14ac:dyDescent="0.25">
      <c r="A18" s="2"/>
      <c r="B18" s="71" t="s">
        <v>72</v>
      </c>
      <c r="C18" s="36" t="s">
        <v>73</v>
      </c>
      <c r="D18" s="62">
        <v>1.3</v>
      </c>
      <c r="E18" s="124">
        <v>0</v>
      </c>
      <c r="F18" s="37">
        <v>50</v>
      </c>
      <c r="G18" s="37">
        <f t="shared" ref="G18:G21" si="2">F18*1.0923</f>
        <v>54.615000000000002</v>
      </c>
      <c r="H18" s="37">
        <f>D18*E18*F18</f>
        <v>0</v>
      </c>
      <c r="I18" s="38">
        <f t="shared" ref="I18:I21" si="3">H18*1.0923</f>
        <v>0</v>
      </c>
      <c r="K18" s="5"/>
      <c r="L18" s="5"/>
      <c r="M18" s="5"/>
      <c r="N18" s="5"/>
      <c r="O18" s="5"/>
      <c r="P18" s="5"/>
      <c r="Q18" s="5"/>
      <c r="R18" s="5"/>
      <c r="S18" s="3"/>
      <c r="T18" s="5"/>
      <c r="U18" s="3"/>
      <c r="V18" s="5"/>
      <c r="W18" s="5"/>
      <c r="X18" s="5"/>
      <c r="Y18" s="5"/>
      <c r="Z18" s="5"/>
      <c r="AA18" s="5"/>
      <c r="AB18" s="5"/>
      <c r="AC18" s="5"/>
      <c r="AD18" s="5"/>
      <c r="AE18" s="6"/>
      <c r="AF18" s="1"/>
      <c r="AG18"/>
      <c r="AH18"/>
      <c r="AI18"/>
      <c r="AJ18"/>
    </row>
    <row r="19" spans="1:36" s="4" customFormat="1" x14ac:dyDescent="0.25">
      <c r="A19" s="2"/>
      <c r="B19" s="71" t="s">
        <v>74</v>
      </c>
      <c r="C19" s="36" t="s">
        <v>73</v>
      </c>
      <c r="D19" s="62">
        <v>1.3</v>
      </c>
      <c r="E19" s="124">
        <v>0</v>
      </c>
      <c r="F19" s="37">
        <v>50</v>
      </c>
      <c r="G19" s="37">
        <f t="shared" si="2"/>
        <v>54.615000000000002</v>
      </c>
      <c r="H19" s="37">
        <f t="shared" ref="H19:H21" si="4">D19*E19*F19</f>
        <v>0</v>
      </c>
      <c r="I19" s="38">
        <f t="shared" si="3"/>
        <v>0</v>
      </c>
      <c r="K19" s="5"/>
      <c r="L19" s="5"/>
      <c r="M19" s="5"/>
      <c r="N19" s="5"/>
      <c r="O19" s="5"/>
      <c r="P19" s="5"/>
      <c r="Q19" s="5"/>
      <c r="R19" s="5"/>
      <c r="S19" s="3"/>
      <c r="T19" s="5"/>
      <c r="U19" s="3"/>
      <c r="V19" s="5"/>
      <c r="W19" s="5"/>
      <c r="X19" s="5"/>
      <c r="Y19" s="5"/>
      <c r="Z19" s="5"/>
      <c r="AA19" s="5"/>
      <c r="AB19" s="5"/>
      <c r="AC19" s="5"/>
      <c r="AD19" s="5"/>
      <c r="AE19" s="6"/>
      <c r="AF19" s="1"/>
      <c r="AG19"/>
      <c r="AH19"/>
      <c r="AI19"/>
      <c r="AJ19"/>
    </row>
    <row r="20" spans="1:36" s="4" customFormat="1" ht="30" x14ac:dyDescent="0.25">
      <c r="A20" s="2"/>
      <c r="B20" s="71" t="s">
        <v>75</v>
      </c>
      <c r="C20" s="36" t="s">
        <v>76</v>
      </c>
      <c r="D20" s="62">
        <v>7.5</v>
      </c>
      <c r="E20" s="62">
        <f>E7</f>
        <v>12</v>
      </c>
      <c r="F20" s="37">
        <v>50</v>
      </c>
      <c r="G20" s="37">
        <f t="shared" si="2"/>
        <v>54.615000000000002</v>
      </c>
      <c r="H20" s="37">
        <f t="shared" si="4"/>
        <v>4500</v>
      </c>
      <c r="I20" s="38">
        <f t="shared" si="3"/>
        <v>4915.3500000000004</v>
      </c>
      <c r="K20" s="5"/>
      <c r="L20" s="5"/>
      <c r="M20" s="5"/>
      <c r="N20" s="5"/>
      <c r="O20" s="5"/>
      <c r="P20" s="5"/>
      <c r="Q20" s="5"/>
      <c r="R20" s="5"/>
      <c r="S20" s="3"/>
      <c r="T20" s="5"/>
      <c r="U20" s="3"/>
      <c r="V20" s="5"/>
      <c r="W20" s="5"/>
      <c r="X20" s="5"/>
      <c r="Y20" s="5"/>
      <c r="Z20" s="5"/>
      <c r="AA20" s="5"/>
      <c r="AB20" s="5"/>
      <c r="AC20" s="5"/>
      <c r="AD20" s="5"/>
      <c r="AE20" s="6"/>
      <c r="AF20" s="1"/>
      <c r="AG20"/>
      <c r="AH20"/>
      <c r="AI20"/>
      <c r="AJ20"/>
    </row>
    <row r="21" spans="1:36" s="4" customFormat="1" ht="30" x14ac:dyDescent="0.25">
      <c r="A21" s="2"/>
      <c r="B21" s="71" t="s">
        <v>77</v>
      </c>
      <c r="C21" s="36" t="s">
        <v>78</v>
      </c>
      <c r="D21" s="62">
        <v>6.25</v>
      </c>
      <c r="E21" s="120">
        <v>0</v>
      </c>
      <c r="F21" s="37">
        <v>50</v>
      </c>
      <c r="G21" s="37">
        <f t="shared" si="2"/>
        <v>54.615000000000002</v>
      </c>
      <c r="H21" s="37">
        <f t="shared" si="4"/>
        <v>0</v>
      </c>
      <c r="I21" s="38">
        <f t="shared" si="3"/>
        <v>0</v>
      </c>
      <c r="K21" s="5"/>
      <c r="L21" s="5"/>
      <c r="M21" s="5"/>
      <c r="N21" s="5"/>
      <c r="O21" s="5"/>
      <c r="P21" s="5"/>
      <c r="Q21" s="5"/>
      <c r="R21" s="5"/>
      <c r="S21" s="3"/>
      <c r="T21" s="5"/>
      <c r="U21" s="3"/>
      <c r="V21" s="5"/>
      <c r="W21" s="5"/>
      <c r="X21" s="5"/>
      <c r="Y21" s="5"/>
      <c r="Z21" s="5"/>
      <c r="AA21" s="5"/>
      <c r="AB21" s="5"/>
      <c r="AC21" s="5"/>
      <c r="AD21" s="5"/>
      <c r="AE21" s="6"/>
      <c r="AF21" s="1"/>
      <c r="AG21"/>
      <c r="AH21"/>
      <c r="AI21"/>
      <c r="AJ21"/>
    </row>
    <row r="22" spans="1:36" s="4" customFormat="1" ht="90" x14ac:dyDescent="0.25">
      <c r="A22" s="2"/>
      <c r="B22" s="274" t="s">
        <v>79</v>
      </c>
      <c r="C22" s="65"/>
      <c r="D22" s="298" t="s">
        <v>80</v>
      </c>
      <c r="E22" s="280" t="s">
        <v>49</v>
      </c>
      <c r="F22" s="134" t="s">
        <v>108</v>
      </c>
      <c r="G22" s="276" t="s">
        <v>82</v>
      </c>
      <c r="H22" s="20" t="s">
        <v>59</v>
      </c>
      <c r="I22" s="281" t="s">
        <v>60</v>
      </c>
      <c r="K22" s="78"/>
      <c r="L22" s="78"/>
      <c r="M22" s="78"/>
      <c r="N22" s="78"/>
      <c r="O22" s="78"/>
      <c r="P22" s="78"/>
      <c r="Q22" s="78"/>
      <c r="R22" s="78"/>
      <c r="S22" s="78"/>
      <c r="T22" s="5"/>
      <c r="U22" s="3"/>
      <c r="V22" s="5"/>
      <c r="W22" s="5"/>
      <c r="X22" s="5"/>
      <c r="Y22" s="5"/>
      <c r="Z22" s="5"/>
      <c r="AA22" s="5"/>
      <c r="AB22" s="5"/>
      <c r="AC22" s="5"/>
      <c r="AD22" s="5"/>
      <c r="AE22" s="6"/>
      <c r="AF22" s="1"/>
      <c r="AG22"/>
      <c r="AH22"/>
      <c r="AI22"/>
      <c r="AJ22"/>
    </row>
    <row r="23" spans="1:36" s="4" customFormat="1" x14ac:dyDescent="0.25">
      <c r="A23" s="2"/>
      <c r="B23" s="71" t="s">
        <v>83</v>
      </c>
      <c r="C23" s="36" t="s">
        <v>54</v>
      </c>
      <c r="D23" s="300">
        <v>50</v>
      </c>
      <c r="E23" s="36">
        <f>E12/10</f>
        <v>744</v>
      </c>
      <c r="F23" s="192">
        <v>0</v>
      </c>
      <c r="G23" s="194">
        <f>F23*1.0923</f>
        <v>0</v>
      </c>
      <c r="H23" s="37">
        <f>E23*F23</f>
        <v>0</v>
      </c>
      <c r="I23" s="38">
        <f>H23*1.0923</f>
        <v>0</v>
      </c>
      <c r="K23" s="5"/>
      <c r="L23" s="5"/>
      <c r="M23" s="5"/>
      <c r="N23" s="5"/>
      <c r="O23" s="5"/>
      <c r="P23" s="5"/>
      <c r="Q23" s="5"/>
      <c r="R23" s="5"/>
      <c r="S23" s="3"/>
      <c r="T23" s="5"/>
      <c r="U23" s="3"/>
      <c r="V23" s="5"/>
      <c r="W23" s="5"/>
      <c r="X23" s="5"/>
      <c r="Y23" s="5"/>
      <c r="Z23" s="5"/>
      <c r="AA23" s="5"/>
      <c r="AB23" s="5"/>
      <c r="AC23" s="5"/>
      <c r="AD23" s="5"/>
      <c r="AE23" s="6"/>
      <c r="AF23" s="1"/>
      <c r="AG23"/>
      <c r="AH23"/>
      <c r="AI23"/>
      <c r="AJ23"/>
    </row>
    <row r="24" spans="1:36" s="4" customFormat="1" ht="45" x14ac:dyDescent="0.25">
      <c r="A24" s="2"/>
      <c r="B24" s="71" t="s">
        <v>84</v>
      </c>
      <c r="C24" s="36" t="s">
        <v>54</v>
      </c>
      <c r="D24" s="291">
        <v>1000</v>
      </c>
      <c r="E24" s="36">
        <f>E12/60</f>
        <v>124</v>
      </c>
      <c r="F24" s="193">
        <v>0</v>
      </c>
      <c r="G24" s="194">
        <f t="shared" ref="G24:G25" si="5">F24*1.0923</f>
        <v>0</v>
      </c>
      <c r="H24" s="37">
        <f>E24*F24</f>
        <v>0</v>
      </c>
      <c r="I24" s="38">
        <f t="shared" ref="I24:I25" si="6">H24*1.0923</f>
        <v>0</v>
      </c>
      <c r="K24" s="5"/>
      <c r="L24" s="5"/>
      <c r="M24" s="5"/>
      <c r="N24" s="5"/>
      <c r="O24" s="5"/>
      <c r="P24" s="5"/>
      <c r="Q24" s="5"/>
      <c r="R24" s="5"/>
      <c r="S24" s="3"/>
      <c r="T24" s="5"/>
      <c r="U24" s="3"/>
      <c r="V24" s="5"/>
      <c r="W24" s="5"/>
      <c r="X24" s="5"/>
      <c r="Y24" s="5"/>
      <c r="Z24" s="5"/>
      <c r="AA24" s="5"/>
      <c r="AB24" s="5"/>
      <c r="AC24" s="5"/>
      <c r="AD24" s="5"/>
      <c r="AE24" s="6"/>
      <c r="AF24" s="1"/>
      <c r="AG24"/>
      <c r="AH24"/>
      <c r="AI24"/>
      <c r="AJ24"/>
    </row>
    <row r="25" spans="1:36" s="4" customFormat="1" ht="30" x14ac:dyDescent="0.25">
      <c r="A25" s="2"/>
      <c r="B25" s="71" t="s">
        <v>85</v>
      </c>
      <c r="C25" s="36" t="s">
        <v>54</v>
      </c>
      <c r="D25" s="291">
        <v>1250</v>
      </c>
      <c r="E25" s="36">
        <f>E12/31</f>
        <v>240</v>
      </c>
      <c r="F25" s="192">
        <v>0</v>
      </c>
      <c r="G25" s="194">
        <f t="shared" si="5"/>
        <v>0</v>
      </c>
      <c r="H25" s="37">
        <f>E25*F25</f>
        <v>0</v>
      </c>
      <c r="I25" s="38">
        <f t="shared" si="6"/>
        <v>0</v>
      </c>
      <c r="K25" s="5"/>
      <c r="L25" s="5"/>
      <c r="M25" s="5"/>
      <c r="N25" s="5"/>
      <c r="O25" s="5"/>
      <c r="P25" s="5"/>
      <c r="Q25" s="5"/>
      <c r="R25" s="5"/>
      <c r="S25" s="3"/>
      <c r="T25" s="5"/>
      <c r="U25" s="3"/>
      <c r="V25" s="5"/>
      <c r="W25" s="5"/>
      <c r="X25" s="5"/>
      <c r="Y25" s="5"/>
      <c r="Z25" s="5"/>
      <c r="AA25" s="5"/>
      <c r="AB25" s="5"/>
      <c r="AC25" s="5"/>
      <c r="AD25" s="5"/>
      <c r="AE25" s="6"/>
      <c r="AF25" s="1"/>
      <c r="AG25"/>
      <c r="AH25"/>
      <c r="AI25"/>
      <c r="AJ25"/>
    </row>
    <row r="26" spans="1:36" s="4" customFormat="1" ht="15" customHeight="1" x14ac:dyDescent="0.25">
      <c r="A26" s="2"/>
      <c r="B26" s="270" t="s">
        <v>87</v>
      </c>
      <c r="C26" s="47"/>
      <c r="D26" s="48"/>
      <c r="E26" s="49"/>
      <c r="F26" s="50"/>
      <c r="G26" s="50"/>
      <c r="H26" s="50">
        <f>SUM(H11:H25)</f>
        <v>419850</v>
      </c>
      <c r="I26" s="271">
        <f>H270*1.0923</f>
        <v>0</v>
      </c>
      <c r="K26" s="5"/>
      <c r="L26" s="5"/>
      <c r="M26" s="5"/>
      <c r="N26" s="5"/>
      <c r="O26" s="5"/>
      <c r="P26" s="5"/>
      <c r="Q26" s="5"/>
      <c r="R26" s="5"/>
      <c r="S26" s="3"/>
      <c r="T26" s="5"/>
      <c r="U26" s="3"/>
      <c r="V26" s="5"/>
      <c r="W26" s="5"/>
      <c r="X26" s="5"/>
      <c r="Y26" s="5"/>
      <c r="Z26" s="5"/>
      <c r="AA26" s="5"/>
      <c r="AB26" s="5"/>
      <c r="AC26" s="5"/>
      <c r="AD26" s="5"/>
      <c r="AE26" s="6"/>
      <c r="AF26" s="1"/>
      <c r="AG26"/>
      <c r="AH26"/>
      <c r="AI26"/>
      <c r="AJ26"/>
    </row>
    <row r="27" spans="1:36" s="4" customFormat="1" ht="15" customHeight="1" x14ac:dyDescent="0.25">
      <c r="A27" s="2"/>
      <c r="B27" s="41"/>
      <c r="C27" s="25"/>
      <c r="D27" s="26"/>
      <c r="E27" s="27"/>
      <c r="F27" s="28"/>
      <c r="G27" s="28"/>
      <c r="H27" s="28"/>
      <c r="I27" s="40"/>
      <c r="K27" s="5"/>
      <c r="L27" s="5"/>
      <c r="M27" s="5"/>
      <c r="N27" s="5"/>
      <c r="O27" s="5"/>
      <c r="P27" s="5"/>
      <c r="Q27" s="5"/>
      <c r="R27" s="5"/>
      <c r="S27" s="3"/>
      <c r="T27" s="5"/>
      <c r="U27" s="3"/>
      <c r="V27" s="5"/>
      <c r="W27" s="5"/>
      <c r="X27" s="5"/>
      <c r="Y27" s="5"/>
      <c r="Z27" s="5"/>
      <c r="AA27" s="5"/>
      <c r="AB27" s="5"/>
      <c r="AC27" s="5"/>
      <c r="AD27" s="5"/>
      <c r="AE27" s="6"/>
      <c r="AF27" s="1"/>
      <c r="AG27"/>
      <c r="AH27"/>
      <c r="AI27"/>
      <c r="AJ27"/>
    </row>
    <row r="28" spans="1:36" s="4" customFormat="1" ht="15" customHeight="1" x14ac:dyDescent="0.25">
      <c r="A28" s="2"/>
      <c r="B28" s="282" t="s">
        <v>88</v>
      </c>
      <c r="C28" s="283" t="s">
        <v>89</v>
      </c>
      <c r="D28" s="254"/>
      <c r="E28" s="254"/>
      <c r="F28" s="51">
        <v>0.1</v>
      </c>
      <c r="G28" s="51"/>
      <c r="H28" s="134">
        <f>H26*F28</f>
        <v>41985</v>
      </c>
      <c r="I28" s="286">
        <f t="shared" ref="I28:I33" si="7">H28*1.0923</f>
        <v>45860.215499999998</v>
      </c>
      <c r="K28" s="5"/>
      <c r="L28" s="5"/>
      <c r="M28" s="5"/>
      <c r="N28" s="5"/>
      <c r="O28" s="5"/>
      <c r="P28" s="5"/>
      <c r="Q28" s="5"/>
      <c r="R28" s="5"/>
      <c r="S28" s="3"/>
      <c r="T28" s="5"/>
      <c r="U28" s="3"/>
      <c r="V28" s="5"/>
      <c r="W28" s="5"/>
      <c r="X28" s="5"/>
      <c r="Y28" s="5"/>
      <c r="Z28" s="5"/>
      <c r="AA28" s="5"/>
      <c r="AB28" s="5"/>
      <c r="AC28" s="5"/>
      <c r="AD28" s="5"/>
      <c r="AE28" s="6"/>
      <c r="AF28" s="1"/>
      <c r="AG28"/>
      <c r="AH28"/>
      <c r="AI28"/>
      <c r="AJ28"/>
    </row>
    <row r="29" spans="1:36" s="4" customFormat="1" ht="15" customHeight="1" x14ac:dyDescent="0.25">
      <c r="A29" s="2"/>
      <c r="B29" s="41" t="s">
        <v>90</v>
      </c>
      <c r="C29" s="25"/>
      <c r="D29" s="66"/>
      <c r="E29" s="67"/>
      <c r="F29" s="29"/>
      <c r="G29" s="29"/>
      <c r="H29" s="28">
        <f>SUM(H26:H28)</f>
        <v>461835</v>
      </c>
      <c r="I29" s="40">
        <f t="shared" si="7"/>
        <v>504462.37050000002</v>
      </c>
      <c r="K29" s="5"/>
      <c r="L29" s="5"/>
      <c r="M29" s="5"/>
      <c r="N29" s="5"/>
      <c r="O29" s="5"/>
      <c r="P29" s="5"/>
      <c r="Q29" s="5"/>
      <c r="R29" s="5"/>
      <c r="S29" s="3"/>
      <c r="T29" s="5"/>
      <c r="U29" s="3"/>
      <c r="V29" s="5"/>
      <c r="W29" s="5"/>
      <c r="X29" s="5"/>
      <c r="Y29" s="5"/>
      <c r="Z29" s="5"/>
      <c r="AA29" s="5"/>
      <c r="AB29" s="5"/>
      <c r="AC29" s="5"/>
      <c r="AD29" s="5"/>
      <c r="AE29" s="6"/>
      <c r="AF29" s="1"/>
      <c r="AG29"/>
      <c r="AH29"/>
      <c r="AI29"/>
      <c r="AJ29"/>
    </row>
    <row r="30" spans="1:36" s="4" customFormat="1" ht="15" customHeight="1" x14ac:dyDescent="0.25">
      <c r="A30" s="2"/>
      <c r="B30" s="284" t="s">
        <v>91</v>
      </c>
      <c r="C30" s="285" t="s">
        <v>89</v>
      </c>
      <c r="D30" s="255"/>
      <c r="E30" s="255"/>
      <c r="F30" s="53">
        <v>0.1</v>
      </c>
      <c r="G30" s="53"/>
      <c r="H30" s="191">
        <f>H29*F30</f>
        <v>46183.5</v>
      </c>
      <c r="I30" s="286">
        <f t="shared" si="7"/>
        <v>50446.237050000003</v>
      </c>
      <c r="K30" s="5"/>
      <c r="L30" s="5"/>
      <c r="M30" s="5"/>
      <c r="N30" s="5"/>
      <c r="O30" s="5"/>
      <c r="P30" s="5"/>
      <c r="Q30" s="5"/>
      <c r="R30" s="5"/>
      <c r="S30" s="3"/>
      <c r="T30" s="5"/>
      <c r="U30" s="3"/>
      <c r="V30" s="5"/>
      <c r="W30" s="5"/>
      <c r="X30" s="5"/>
      <c r="Y30" s="5"/>
      <c r="Z30" s="5"/>
      <c r="AA30" s="5"/>
      <c r="AB30" s="5"/>
      <c r="AC30" s="5"/>
      <c r="AD30" s="5"/>
      <c r="AE30" s="6"/>
      <c r="AF30" s="1"/>
      <c r="AG30"/>
      <c r="AH30"/>
      <c r="AI30"/>
      <c r="AJ30"/>
    </row>
    <row r="31" spans="1:36" s="4" customFormat="1" ht="15" customHeight="1" thickBot="1" x14ac:dyDescent="0.3">
      <c r="A31" s="2"/>
      <c r="B31" s="54" t="s">
        <v>87</v>
      </c>
      <c r="C31" s="55"/>
      <c r="D31" s="68"/>
      <c r="E31" s="69"/>
      <c r="F31" s="56"/>
      <c r="G31" s="56"/>
      <c r="H31" s="173">
        <f>SUM(H29:H30)</f>
        <v>508018.5</v>
      </c>
      <c r="I31" s="189">
        <f t="shared" si="7"/>
        <v>554908.60755000007</v>
      </c>
      <c r="K31" s="5"/>
      <c r="L31" s="5"/>
      <c r="M31" s="5"/>
      <c r="N31" s="5"/>
      <c r="O31" s="5"/>
      <c r="P31" s="5"/>
      <c r="Q31" s="5"/>
      <c r="R31" s="5"/>
      <c r="S31" s="3"/>
      <c r="T31" s="5"/>
      <c r="U31" s="3"/>
      <c r="V31" s="5"/>
      <c r="W31" s="5"/>
      <c r="X31" s="5"/>
      <c r="Y31" s="5"/>
      <c r="Z31" s="5"/>
      <c r="AA31" s="5"/>
      <c r="AB31" s="5"/>
      <c r="AC31" s="5"/>
      <c r="AD31" s="5"/>
      <c r="AE31" s="6"/>
      <c r="AF31" s="1"/>
      <c r="AG31"/>
      <c r="AH31"/>
      <c r="AI31"/>
      <c r="AJ31"/>
    </row>
    <row r="32" spans="1:36" s="4" customFormat="1" ht="15" customHeight="1" thickTop="1" x14ac:dyDescent="0.25">
      <c r="A32" s="2"/>
      <c r="B32" s="282" t="s">
        <v>92</v>
      </c>
      <c r="C32" s="287" t="s">
        <v>93</v>
      </c>
      <c r="D32" s="252"/>
      <c r="E32" s="252"/>
      <c r="F32" s="51">
        <v>0.25</v>
      </c>
      <c r="G32" s="51"/>
      <c r="H32" s="180">
        <f>H31*F32</f>
        <v>127004.625</v>
      </c>
      <c r="I32" s="297">
        <f t="shared" si="7"/>
        <v>138727.15188750002</v>
      </c>
      <c r="K32" s="5"/>
      <c r="L32" s="5"/>
      <c r="M32" s="5"/>
      <c r="N32" s="5"/>
      <c r="O32" s="5"/>
      <c r="P32" s="5"/>
      <c r="Q32" s="5"/>
      <c r="R32" s="5"/>
      <c r="S32" s="3"/>
      <c r="T32" s="5"/>
      <c r="U32" s="3"/>
      <c r="V32" s="5"/>
      <c r="W32" s="5"/>
      <c r="X32" s="5"/>
      <c r="Y32" s="5"/>
      <c r="Z32" s="5"/>
      <c r="AA32" s="5"/>
      <c r="AB32" s="5"/>
      <c r="AC32" s="5"/>
      <c r="AD32" s="5"/>
      <c r="AE32" s="6"/>
      <c r="AF32" s="1"/>
      <c r="AG32"/>
      <c r="AH32"/>
      <c r="AI32"/>
      <c r="AJ32"/>
    </row>
    <row r="33" spans="1:36" s="4" customFormat="1" ht="15" customHeight="1" thickBot="1" x14ac:dyDescent="0.3">
      <c r="A33" s="2"/>
      <c r="B33" s="288" t="s">
        <v>94</v>
      </c>
      <c r="C33" s="289" t="s">
        <v>103</v>
      </c>
      <c r="D33" s="253"/>
      <c r="E33" s="253"/>
      <c r="F33" s="52">
        <v>0.1</v>
      </c>
      <c r="G33" s="52"/>
      <c r="H33" s="174">
        <f>H32*F33</f>
        <v>12700.462500000001</v>
      </c>
      <c r="I33" s="296">
        <f t="shared" si="7"/>
        <v>13872.715188750002</v>
      </c>
      <c r="K33" s="5"/>
      <c r="L33" s="5"/>
      <c r="M33" s="5"/>
      <c r="N33" s="5"/>
      <c r="O33" s="5"/>
      <c r="P33" s="5"/>
      <c r="Q33" s="5"/>
      <c r="R33" s="5"/>
      <c r="S33" s="3"/>
      <c r="T33" s="5"/>
      <c r="U33" s="3"/>
      <c r="V33" s="5"/>
      <c r="W33" s="5"/>
      <c r="X33" s="5"/>
      <c r="Y33" s="5"/>
      <c r="Z33" s="5"/>
      <c r="AA33" s="5"/>
      <c r="AB33" s="5"/>
      <c r="AC33" s="5"/>
      <c r="AD33" s="5"/>
      <c r="AE33" s="6"/>
      <c r="AF33" s="1"/>
      <c r="AG33"/>
      <c r="AH33"/>
      <c r="AI33"/>
      <c r="AJ33"/>
    </row>
    <row r="34" spans="1:36" s="4" customFormat="1" ht="15" customHeight="1" thickTop="1" x14ac:dyDescent="0.25">
      <c r="A34" s="2"/>
      <c r="B34" s="39"/>
      <c r="C34" s="22"/>
      <c r="D34" s="17"/>
      <c r="F34" s="7"/>
      <c r="G34" s="7"/>
      <c r="H34" s="7"/>
      <c r="I34" s="183"/>
      <c r="K34" s="5"/>
      <c r="L34" s="5"/>
      <c r="M34" s="5"/>
      <c r="N34" s="5"/>
      <c r="O34" s="5"/>
      <c r="P34" s="5"/>
      <c r="Q34" s="5"/>
      <c r="R34" s="5"/>
      <c r="S34" s="3"/>
      <c r="T34" s="5"/>
      <c r="U34" s="3"/>
      <c r="V34" s="5"/>
      <c r="W34" s="5"/>
      <c r="X34" s="5"/>
      <c r="Y34" s="5"/>
      <c r="Z34" s="5"/>
      <c r="AA34" s="5"/>
      <c r="AB34" s="5"/>
      <c r="AC34" s="5"/>
      <c r="AD34" s="5"/>
      <c r="AE34" s="6"/>
      <c r="AF34" s="1"/>
      <c r="AG34"/>
      <c r="AH34"/>
      <c r="AI34"/>
      <c r="AJ34"/>
    </row>
    <row r="35" spans="1:36" s="4" customFormat="1" ht="15" customHeight="1" thickBot="1" x14ac:dyDescent="0.3">
      <c r="A35" s="2"/>
      <c r="B35" s="43" t="s">
        <v>96</v>
      </c>
      <c r="C35" s="44"/>
      <c r="D35" s="45"/>
      <c r="E35" s="13"/>
      <c r="F35" s="46"/>
      <c r="G35" s="46"/>
      <c r="H35" s="46">
        <f>SUM(H31,H32,H33)</f>
        <v>647723.58750000002</v>
      </c>
      <c r="I35" s="107">
        <f>H35*1.0923</f>
        <v>707508.4746262501</v>
      </c>
      <c r="K35" s="5"/>
      <c r="L35" s="5"/>
      <c r="M35" s="5"/>
      <c r="N35" s="5"/>
      <c r="O35" s="5"/>
      <c r="P35" s="5"/>
      <c r="Q35" s="5"/>
      <c r="R35" s="5"/>
      <c r="S35" s="3"/>
      <c r="T35" s="5"/>
      <c r="U35" s="3"/>
      <c r="V35" s="5"/>
      <c r="W35" s="5"/>
      <c r="X35" s="5"/>
      <c r="Y35" s="5"/>
      <c r="Z35" s="5"/>
      <c r="AA35" s="5"/>
      <c r="AB35" s="5"/>
      <c r="AC35" s="5"/>
      <c r="AD35" s="5"/>
      <c r="AE35" s="6"/>
      <c r="AF35" s="1"/>
      <c r="AG35"/>
      <c r="AH35"/>
      <c r="AI35"/>
      <c r="AJ35"/>
    </row>
  </sheetData>
  <mergeCells count="6">
    <mergeCell ref="C33:E33"/>
    <mergeCell ref="C28:E28"/>
    <mergeCell ref="C30:E30"/>
    <mergeCell ref="C32:E32"/>
    <mergeCell ref="B2:I2"/>
    <mergeCell ref="B3:I3"/>
  </mergeCells>
  <dataValidations count="7">
    <dataValidation allowBlank="1" showInputMessage="1" showErrorMessage="1" promptTitle="Flex Posts" prompt="Physical separation to deter motor vehicle infringement onto the bike lane. Passive unit cost is a placeholder for each separator's unit cost.  The Active Unit Cost can be user adjusted depending on which separator is preferred for the project._x000a_" sqref="F23:G23 G24:G25" xr:uid="{F6FC03A5-0567-48A1-900C-9B2002404BCB}"/>
    <dataValidation allowBlank="1" showInputMessage="1" showErrorMessage="1" promptTitle="Instructions Cell" prompt="Additional instructions can be found if you hover over green colored cells." sqref="L2" xr:uid="{9966F344-B9C6-477E-AED9-C0FD30DB17E8}"/>
    <dataValidation allowBlank="1" showInputMessage="1" showErrorMessage="1" promptTitle="Bike Lane Ahead" prompt="Enter additional quanities for this type of sign, if desired or required." sqref="E18" xr:uid="{5FA47FC2-3FEF-4498-9564-5D8E7DDAF18D}"/>
    <dataValidation allowBlank="1" showInputMessage="1" showErrorMessage="1" promptTitle="Bike Lane Ends" prompt="Enter additional quanities for this type of sign, if desired or required." sqref="E19" xr:uid="{2DD0FED2-BA24-4960-8F7D-E8C55DCDBC2C}"/>
    <dataValidation allowBlank="1" showInputMessage="1" showErrorMessage="1" promptTitle="Bikes May Use Full Lane" prompt="Enter additional quanities for this type of sign, if desired or required." sqref="E21" xr:uid="{408B2601-6599-462F-BDE6-949E4A7A137C}"/>
    <dataValidation allowBlank="1" showInputMessage="1" showErrorMessage="1" promptTitle="Passive Unit Cost" prompt="The &quot;Passive Unit Cost&quot; is a locked cell which states the current unit price for each feature.  In the &quot;Active Unit Cost&quot; cell, type &quot;=&quot; and select the same &quot;Passive Unit Cost&quot; of the same feature.  The subtotal will automatically update. " sqref="D23" xr:uid="{8785F262-D0B3-488B-9563-60D5F7F42517}"/>
    <dataValidation allowBlank="1" showInputMessage="1" showErrorMessage="1" prompt="2025 cost values are estimated by applying a 9.23% inflation rate to 2022 costs." sqref="G10 I10 G16 I16 G22 I22" xr:uid="{D2857AE1-CDB7-401D-A3B8-0BF9196CEB53}"/>
  </dataValidations>
  <pageMargins left="0.25" right="0.25" top="0.75" bottom="0.75" header="0.3" footer="0.3"/>
  <pageSetup paperSize="3" scale="78" fitToHeight="0" orientation="landscape" r:id="rId1"/>
  <ignoredErrors>
    <ignoredError sqref="H11:H21 H31" formula="1"/>
    <ignoredError sqref="G24:G25" unlockedFormula="1"/>
    <ignoredError sqref="H23:H25" formula="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BEEB2-294C-42A3-B617-8660D1B8DF24}">
  <sheetPr>
    <pageSetUpPr fitToPage="1"/>
  </sheetPr>
  <dimension ref="A1:AJ36"/>
  <sheetViews>
    <sheetView zoomScaleNormal="100" workbookViewId="0">
      <selection activeCell="K22" sqref="K22"/>
    </sheetView>
  </sheetViews>
  <sheetFormatPr defaultRowHeight="15" x14ac:dyDescent="0.25"/>
  <cols>
    <col min="1" max="1" width="8.5703125" style="2" customWidth="1"/>
    <col min="2" max="2" width="26" style="1" customWidth="1"/>
    <col min="3" max="3" width="11.42578125" style="4" customWidth="1"/>
    <col min="4" max="4" width="8.5703125" style="4" customWidth="1"/>
    <col min="5" max="5" width="12.42578125" style="3" customWidth="1"/>
    <col min="6" max="6" width="20.5703125" style="3" hidden="1" customWidth="1"/>
    <col min="7" max="7" width="20.5703125" style="3" customWidth="1"/>
    <col min="8" max="8" width="12.5703125" style="3" hidden="1" customWidth="1"/>
    <col min="9" max="9" width="12.5703125" style="3" customWidth="1"/>
    <col min="10" max="10" width="13.85546875" style="4" customWidth="1"/>
    <col min="11" max="11" width="27.5703125" style="5" customWidth="1"/>
    <col min="12" max="12" width="12.570312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57.95" customHeight="1" x14ac:dyDescent="0.25">
      <c r="A2" s="10"/>
      <c r="B2" s="256" t="s">
        <v>109</v>
      </c>
      <c r="C2" s="257"/>
      <c r="D2" s="257"/>
      <c r="E2" s="257"/>
      <c r="F2" s="257"/>
      <c r="G2" s="257"/>
      <c r="H2" s="257"/>
      <c r="I2" s="258"/>
      <c r="J2" s="10"/>
      <c r="K2" s="121" t="s">
        <v>98</v>
      </c>
    </row>
    <row r="3" spans="1:36" s="5" customFormat="1" ht="15.75" customHeight="1" thickBot="1" x14ac:dyDescent="0.3">
      <c r="A3" s="10"/>
      <c r="B3" s="262" t="s">
        <v>99</v>
      </c>
      <c r="C3" s="263"/>
      <c r="D3" s="263"/>
      <c r="E3" s="263"/>
      <c r="F3" s="263"/>
      <c r="G3" s="263"/>
      <c r="H3" s="263"/>
      <c r="I3" s="264"/>
      <c r="J3" s="10"/>
      <c r="K3" s="10"/>
      <c r="S3" s="3"/>
      <c r="U3" s="3"/>
      <c r="AE3" s="6"/>
      <c r="AF3" s="1"/>
      <c r="AG3"/>
      <c r="AH3"/>
      <c r="AI3"/>
      <c r="AJ3"/>
    </row>
    <row r="4" spans="1:36" s="5" customFormat="1" x14ac:dyDescent="0.25">
      <c r="A4" s="10"/>
      <c r="B4" s="272" t="s">
        <v>48</v>
      </c>
      <c r="C4" s="60"/>
      <c r="D4" s="60"/>
      <c r="E4" s="293" t="s">
        <v>49</v>
      </c>
      <c r="F4" s="30"/>
      <c r="G4" s="30"/>
      <c r="H4" s="138"/>
      <c r="I4" s="181"/>
      <c r="J4" s="10"/>
      <c r="K4" s="10"/>
      <c r="S4" s="3"/>
      <c r="U4" s="3"/>
      <c r="AE4" s="6"/>
      <c r="AF4" s="1"/>
      <c r="AG4"/>
      <c r="AH4"/>
      <c r="AI4"/>
      <c r="AJ4"/>
    </row>
    <row r="5" spans="1:36" s="5" customFormat="1" ht="15.75" x14ac:dyDescent="0.25">
      <c r="A5" s="10"/>
      <c r="B5" s="31" t="s">
        <v>50</v>
      </c>
      <c r="C5" s="21" t="s">
        <v>51</v>
      </c>
      <c r="E5" s="24">
        <f>E6*5280</f>
        <v>7920</v>
      </c>
      <c r="F5" s="21"/>
      <c r="G5" s="21"/>
      <c r="H5" s="19"/>
      <c r="I5" s="32"/>
      <c r="J5" s="10"/>
      <c r="K5" s="10"/>
      <c r="S5" s="3"/>
      <c r="U5" s="3"/>
      <c r="AE5" s="6"/>
      <c r="AF5" s="1"/>
      <c r="AG5"/>
      <c r="AH5"/>
      <c r="AI5"/>
      <c r="AJ5"/>
    </row>
    <row r="6" spans="1:36" s="5" customFormat="1" ht="15.75" x14ac:dyDescent="0.25">
      <c r="A6" s="10"/>
      <c r="B6" s="31" t="s">
        <v>50</v>
      </c>
      <c r="C6" s="21" t="s">
        <v>52</v>
      </c>
      <c r="E6" s="117">
        <v>1.5</v>
      </c>
      <c r="F6" s="21"/>
      <c r="G6" s="21"/>
      <c r="H6" s="19"/>
      <c r="I6" s="32"/>
      <c r="J6" s="10"/>
      <c r="K6" s="10"/>
      <c r="S6" s="3"/>
      <c r="U6" s="3"/>
      <c r="AE6" s="6"/>
      <c r="AF6" s="1"/>
      <c r="AG6"/>
      <c r="AH6"/>
      <c r="AI6"/>
      <c r="AJ6"/>
    </row>
    <row r="7" spans="1:36" s="5" customFormat="1" ht="15.75" x14ac:dyDescent="0.25">
      <c r="A7" s="10"/>
      <c r="B7" s="33" t="s">
        <v>53</v>
      </c>
      <c r="C7" s="2" t="s">
        <v>54</v>
      </c>
      <c r="E7" s="118">
        <v>12</v>
      </c>
      <c r="F7" s="7"/>
      <c r="G7" s="7"/>
      <c r="H7" s="19"/>
      <c r="I7" s="32"/>
      <c r="J7" s="10"/>
      <c r="K7" s="10"/>
      <c r="S7" s="3"/>
      <c r="U7" s="3"/>
      <c r="AE7" s="6"/>
      <c r="AF7" s="1"/>
      <c r="AG7"/>
      <c r="AH7"/>
      <c r="AI7"/>
      <c r="AJ7"/>
    </row>
    <row r="8" spans="1:36" s="5" customFormat="1" ht="15.75" x14ac:dyDescent="0.25">
      <c r="A8" s="10"/>
      <c r="B8" s="34" t="s">
        <v>55</v>
      </c>
      <c r="C8" s="64" t="s">
        <v>51</v>
      </c>
      <c r="E8" s="118">
        <v>40</v>
      </c>
      <c r="F8" s="7"/>
      <c r="G8" s="7"/>
      <c r="H8" s="19"/>
      <c r="I8" s="32"/>
      <c r="J8" s="10"/>
      <c r="K8" s="10"/>
      <c r="S8" s="3"/>
      <c r="U8" s="3"/>
      <c r="AE8" s="6"/>
      <c r="AF8" s="1"/>
      <c r="AG8"/>
      <c r="AH8"/>
      <c r="AI8"/>
      <c r="AJ8"/>
    </row>
    <row r="9" spans="1:36" s="5" customFormat="1" ht="15.75" x14ac:dyDescent="0.25">
      <c r="A9" s="10"/>
      <c r="B9" s="34"/>
      <c r="C9" s="64"/>
      <c r="E9" s="24"/>
      <c r="F9" s="37"/>
      <c r="G9" s="37"/>
      <c r="H9" s="19"/>
      <c r="I9" s="32"/>
      <c r="J9" s="10"/>
      <c r="K9" s="10"/>
      <c r="S9" s="3"/>
      <c r="U9" s="3"/>
      <c r="AE9" s="6"/>
      <c r="AF9" s="1"/>
      <c r="AG9"/>
      <c r="AH9"/>
      <c r="AI9"/>
      <c r="AJ9"/>
    </row>
    <row r="10" spans="1:36" s="5" customFormat="1" x14ac:dyDescent="0.25">
      <c r="A10" s="10"/>
      <c r="B10" s="274" t="s">
        <v>56</v>
      </c>
      <c r="C10" s="65"/>
      <c r="D10" s="70"/>
      <c r="E10" s="278" t="s">
        <v>49</v>
      </c>
      <c r="F10" s="20" t="s">
        <v>57</v>
      </c>
      <c r="G10" s="281" t="s">
        <v>58</v>
      </c>
      <c r="H10" s="20" t="s">
        <v>59</v>
      </c>
      <c r="I10" s="281" t="s">
        <v>60</v>
      </c>
      <c r="J10" s="10"/>
      <c r="K10" s="10"/>
      <c r="S10" s="3"/>
      <c r="U10" s="3"/>
      <c r="AE10" s="6"/>
      <c r="AF10" s="1"/>
      <c r="AG10"/>
      <c r="AH10"/>
      <c r="AI10"/>
      <c r="AJ10"/>
    </row>
    <row r="11" spans="1:36" s="5" customFormat="1" ht="15.75" x14ac:dyDescent="0.25">
      <c r="A11" s="10"/>
      <c r="B11" s="34" t="s">
        <v>61</v>
      </c>
      <c r="C11" s="64" t="s">
        <v>54</v>
      </c>
      <c r="E11" s="24">
        <f>E5/300+E7</f>
        <v>38.4</v>
      </c>
      <c r="F11" s="37">
        <v>500</v>
      </c>
      <c r="G11" s="37">
        <f>F11*1.0923</f>
        <v>546.15</v>
      </c>
      <c r="H11" s="19">
        <f>E11*F11</f>
        <v>19200</v>
      </c>
      <c r="I11" s="32">
        <f>H11*1.0923</f>
        <v>20972.16</v>
      </c>
      <c r="J11" s="10"/>
      <c r="K11" s="10"/>
      <c r="S11" s="3"/>
      <c r="U11" s="3"/>
      <c r="AE11" s="6"/>
      <c r="AF11" s="1"/>
      <c r="AG11"/>
      <c r="AH11"/>
      <c r="AI11"/>
      <c r="AJ11"/>
    </row>
    <row r="12" spans="1:36" s="5" customFormat="1" ht="30" x14ac:dyDescent="0.25">
      <c r="A12" s="10"/>
      <c r="B12" s="61" t="s">
        <v>62</v>
      </c>
      <c r="C12" s="64" t="s">
        <v>51</v>
      </c>
      <c r="E12" s="24">
        <f>E5*2-(E7*E8)</f>
        <v>15360</v>
      </c>
      <c r="F12" s="37">
        <v>20</v>
      </c>
      <c r="G12" s="37">
        <f t="shared" ref="G12:G15" si="0">F12*1.0923</f>
        <v>21.846</v>
      </c>
      <c r="H12" s="19">
        <f>E12*F12</f>
        <v>307200</v>
      </c>
      <c r="I12" s="32">
        <f t="shared" ref="I12:I15" si="1">H12*1.0923</f>
        <v>335554.56</v>
      </c>
      <c r="J12" s="10"/>
      <c r="K12" s="10"/>
      <c r="S12" s="3"/>
      <c r="U12" s="3"/>
      <c r="AE12" s="6"/>
      <c r="AF12" s="1"/>
      <c r="AG12"/>
      <c r="AH12"/>
      <c r="AI12"/>
      <c r="AJ12"/>
    </row>
    <row r="13" spans="1:36" s="5" customFormat="1" ht="45" x14ac:dyDescent="0.25">
      <c r="A13" s="10"/>
      <c r="B13" s="61" t="s">
        <v>63</v>
      </c>
      <c r="C13" s="64" t="s">
        <v>51</v>
      </c>
      <c r="E13" s="24">
        <f>E5*2-(E7*E9)*4.25</f>
        <v>15840</v>
      </c>
      <c r="F13" s="37">
        <v>20</v>
      </c>
      <c r="G13" s="37">
        <f t="shared" si="0"/>
        <v>21.846</v>
      </c>
      <c r="H13" s="19">
        <f>E13*F13</f>
        <v>316800</v>
      </c>
      <c r="I13" s="32">
        <f t="shared" si="1"/>
        <v>346040.64</v>
      </c>
      <c r="J13" s="10"/>
      <c r="K13" s="10"/>
      <c r="S13" s="3"/>
      <c r="U13" s="3"/>
      <c r="AE13" s="6"/>
      <c r="AF13" s="1"/>
      <c r="AG13"/>
      <c r="AH13"/>
      <c r="AI13"/>
      <c r="AJ13"/>
    </row>
    <row r="14" spans="1:36" s="5" customFormat="1" ht="30" x14ac:dyDescent="0.25">
      <c r="A14" s="10"/>
      <c r="B14" s="61" t="s">
        <v>64</v>
      </c>
      <c r="C14" s="64" t="s">
        <v>51</v>
      </c>
      <c r="D14" s="24"/>
      <c r="E14" s="119">
        <v>0</v>
      </c>
      <c r="F14" s="37">
        <v>20</v>
      </c>
      <c r="G14" s="37">
        <f t="shared" si="0"/>
        <v>21.846</v>
      </c>
      <c r="H14" s="19">
        <f>E14*F14</f>
        <v>0</v>
      </c>
      <c r="I14" s="32">
        <f t="shared" si="1"/>
        <v>0</v>
      </c>
      <c r="J14" s="10"/>
      <c r="K14" s="10"/>
      <c r="S14" s="3"/>
      <c r="U14" s="3"/>
      <c r="AE14" s="6"/>
      <c r="AF14" s="1"/>
      <c r="AG14"/>
      <c r="AH14"/>
      <c r="AI14"/>
      <c r="AJ14"/>
    </row>
    <row r="15" spans="1:36" s="5" customFormat="1" ht="30" x14ac:dyDescent="0.25">
      <c r="A15" s="10"/>
      <c r="B15" s="61" t="s">
        <v>65</v>
      </c>
      <c r="C15" s="64" t="s">
        <v>66</v>
      </c>
      <c r="D15" s="24"/>
      <c r="E15" s="24">
        <f>((E8+20)*E7)*12</f>
        <v>8640</v>
      </c>
      <c r="F15" s="37">
        <v>20</v>
      </c>
      <c r="G15" s="37">
        <f t="shared" si="0"/>
        <v>21.846</v>
      </c>
      <c r="H15" s="19">
        <f>E15*F15</f>
        <v>172800</v>
      </c>
      <c r="I15" s="32">
        <f t="shared" si="1"/>
        <v>188749.44</v>
      </c>
      <c r="J15" s="10"/>
      <c r="K15" s="10"/>
      <c r="S15" s="3"/>
      <c r="U15" s="3"/>
      <c r="AE15" s="6"/>
      <c r="AF15" s="1"/>
      <c r="AG15"/>
      <c r="AH15"/>
      <c r="AI15"/>
      <c r="AJ15"/>
    </row>
    <row r="16" spans="1:36" ht="30" x14ac:dyDescent="0.25">
      <c r="B16" s="274" t="s">
        <v>67</v>
      </c>
      <c r="C16" s="278" t="s">
        <v>68</v>
      </c>
      <c r="D16" s="279" t="s">
        <v>69</v>
      </c>
      <c r="E16" s="280" t="s">
        <v>49</v>
      </c>
      <c r="F16" s="20" t="s">
        <v>57</v>
      </c>
      <c r="G16" s="281" t="s">
        <v>58</v>
      </c>
      <c r="H16" s="20" t="s">
        <v>59</v>
      </c>
      <c r="I16" s="281" t="s">
        <v>60</v>
      </c>
    </row>
    <row r="17" spans="1:36" ht="15.75" x14ac:dyDescent="0.25">
      <c r="B17" s="71" t="s">
        <v>70</v>
      </c>
      <c r="C17" s="36" t="s">
        <v>71</v>
      </c>
      <c r="D17" s="24">
        <v>3</v>
      </c>
      <c r="E17" s="62">
        <f>E6*4+E7+2</f>
        <v>20</v>
      </c>
      <c r="F17" s="37">
        <v>50</v>
      </c>
      <c r="G17" s="37">
        <f>F17*1.0923</f>
        <v>54.615000000000002</v>
      </c>
      <c r="H17" s="37">
        <f>D17*E17*F17</f>
        <v>3000</v>
      </c>
      <c r="I17" s="38">
        <f>H17*1.0923</f>
        <v>3276.9</v>
      </c>
    </row>
    <row r="18" spans="1:36" s="4" customFormat="1" x14ac:dyDescent="0.25">
      <c r="A18" s="2"/>
      <c r="B18" s="71" t="s">
        <v>72</v>
      </c>
      <c r="C18" s="36" t="s">
        <v>73</v>
      </c>
      <c r="D18" s="62">
        <v>1.3</v>
      </c>
      <c r="E18" s="124">
        <v>0</v>
      </c>
      <c r="F18" s="37">
        <v>50</v>
      </c>
      <c r="G18" s="37">
        <f t="shared" ref="G18:G21" si="2">F18*1.0923</f>
        <v>54.615000000000002</v>
      </c>
      <c r="H18" s="37">
        <f>D18*E18*F18</f>
        <v>0</v>
      </c>
      <c r="I18" s="38">
        <f t="shared" ref="I18:I21" si="3">H18*1.0923</f>
        <v>0</v>
      </c>
      <c r="K18" s="5"/>
      <c r="L18" s="5"/>
      <c r="M18" s="5"/>
      <c r="N18" s="5"/>
      <c r="O18" s="5"/>
      <c r="P18" s="5"/>
      <c r="Q18" s="5"/>
      <c r="R18" s="5"/>
      <c r="S18" s="3"/>
      <c r="T18" s="5"/>
      <c r="U18" s="3"/>
      <c r="V18" s="5"/>
      <c r="W18" s="5"/>
      <c r="X18" s="5"/>
      <c r="Y18" s="5"/>
      <c r="Z18" s="5"/>
      <c r="AA18" s="5"/>
      <c r="AB18" s="5"/>
      <c r="AC18" s="5"/>
      <c r="AD18" s="5"/>
      <c r="AE18" s="6"/>
      <c r="AF18" s="1"/>
      <c r="AG18"/>
      <c r="AH18"/>
      <c r="AI18"/>
      <c r="AJ18"/>
    </row>
    <row r="19" spans="1:36" s="4" customFormat="1" x14ac:dyDescent="0.25">
      <c r="A19" s="2"/>
      <c r="B19" s="71" t="s">
        <v>74</v>
      </c>
      <c r="C19" s="36" t="s">
        <v>73</v>
      </c>
      <c r="D19" s="62">
        <v>1.3</v>
      </c>
      <c r="E19" s="124">
        <v>0</v>
      </c>
      <c r="F19" s="37">
        <v>50</v>
      </c>
      <c r="G19" s="37">
        <f t="shared" si="2"/>
        <v>54.615000000000002</v>
      </c>
      <c r="H19" s="37">
        <f t="shared" ref="H19:H21" si="4">D19*E19*F19</f>
        <v>0</v>
      </c>
      <c r="I19" s="38">
        <f t="shared" si="3"/>
        <v>0</v>
      </c>
      <c r="K19" s="5"/>
      <c r="L19" s="5"/>
      <c r="M19" s="5"/>
      <c r="N19" s="5"/>
      <c r="O19" s="5"/>
      <c r="P19" s="5"/>
      <c r="Q19" s="5"/>
      <c r="R19" s="5"/>
      <c r="S19" s="3"/>
      <c r="T19" s="5"/>
      <c r="U19" s="3"/>
      <c r="V19" s="5"/>
      <c r="W19" s="5"/>
      <c r="X19" s="5"/>
      <c r="Y19" s="5"/>
      <c r="Z19" s="5"/>
      <c r="AA19" s="5"/>
      <c r="AB19" s="5"/>
      <c r="AC19" s="5"/>
      <c r="AD19" s="5"/>
      <c r="AE19" s="6"/>
      <c r="AF19" s="1"/>
      <c r="AG19"/>
      <c r="AH19"/>
      <c r="AI19"/>
      <c r="AJ19"/>
    </row>
    <row r="20" spans="1:36" s="4" customFormat="1" ht="30" x14ac:dyDescent="0.25">
      <c r="A20" s="2"/>
      <c r="B20" s="71" t="s">
        <v>75</v>
      </c>
      <c r="C20" s="36" t="s">
        <v>76</v>
      </c>
      <c r="D20" s="62">
        <v>7.5</v>
      </c>
      <c r="E20" s="62">
        <f>E7*2</f>
        <v>24</v>
      </c>
      <c r="F20" s="37">
        <v>50</v>
      </c>
      <c r="G20" s="37">
        <f t="shared" si="2"/>
        <v>54.615000000000002</v>
      </c>
      <c r="H20" s="37">
        <f t="shared" si="4"/>
        <v>9000</v>
      </c>
      <c r="I20" s="38">
        <f t="shared" si="3"/>
        <v>9830.7000000000007</v>
      </c>
      <c r="K20" s="5"/>
      <c r="L20" s="5"/>
      <c r="M20" s="5"/>
      <c r="N20" s="5"/>
      <c r="O20" s="5"/>
      <c r="P20" s="5"/>
      <c r="Q20" s="5"/>
      <c r="R20" s="5"/>
      <c r="S20" s="3"/>
      <c r="T20" s="5"/>
      <c r="U20" s="3"/>
      <c r="V20" s="5"/>
      <c r="W20" s="5"/>
      <c r="X20" s="5"/>
      <c r="Y20" s="5"/>
      <c r="Z20" s="5"/>
      <c r="AA20" s="5"/>
      <c r="AB20" s="5"/>
      <c r="AC20" s="5"/>
      <c r="AD20" s="5"/>
      <c r="AE20" s="6"/>
      <c r="AF20" s="1"/>
      <c r="AG20"/>
      <c r="AH20"/>
      <c r="AI20"/>
      <c r="AJ20"/>
    </row>
    <row r="21" spans="1:36" s="4" customFormat="1" ht="30" x14ac:dyDescent="0.25">
      <c r="A21" s="2"/>
      <c r="B21" s="71" t="s">
        <v>77</v>
      </c>
      <c r="C21" s="36" t="s">
        <v>78</v>
      </c>
      <c r="D21" s="62">
        <v>6.25</v>
      </c>
      <c r="E21" s="120">
        <v>0</v>
      </c>
      <c r="F21" s="37">
        <v>50</v>
      </c>
      <c r="G21" s="37">
        <f t="shared" si="2"/>
        <v>54.615000000000002</v>
      </c>
      <c r="H21" s="37">
        <f t="shared" si="4"/>
        <v>0</v>
      </c>
      <c r="I21" s="38">
        <f t="shared" si="3"/>
        <v>0</v>
      </c>
      <c r="K21" s="5"/>
      <c r="L21" s="5"/>
      <c r="M21" s="5"/>
      <c r="N21" s="5"/>
      <c r="O21" s="5"/>
      <c r="P21" s="5"/>
      <c r="Q21" s="5"/>
      <c r="R21" s="5"/>
      <c r="S21" s="3"/>
      <c r="T21" s="5"/>
      <c r="U21" s="3"/>
      <c r="V21" s="5"/>
      <c r="W21" s="5"/>
      <c r="X21" s="5"/>
      <c r="Y21" s="5"/>
      <c r="Z21" s="5"/>
      <c r="AA21" s="5"/>
      <c r="AB21" s="5"/>
      <c r="AC21" s="5"/>
      <c r="AD21" s="5"/>
      <c r="AE21" s="6"/>
      <c r="AF21" s="1"/>
      <c r="AG21"/>
      <c r="AH21"/>
      <c r="AI21"/>
      <c r="AJ21"/>
    </row>
    <row r="22" spans="1:36" s="4" customFormat="1" ht="75" x14ac:dyDescent="0.25">
      <c r="A22" s="2"/>
      <c r="B22" s="274" t="s">
        <v>79</v>
      </c>
      <c r="C22" s="65"/>
      <c r="D22" s="279" t="s">
        <v>80</v>
      </c>
      <c r="E22" s="280" t="s">
        <v>49</v>
      </c>
      <c r="F22" s="134" t="s">
        <v>108</v>
      </c>
      <c r="G22" s="276" t="s">
        <v>82</v>
      </c>
      <c r="H22" s="20" t="s">
        <v>59</v>
      </c>
      <c r="I22" s="281" t="s">
        <v>60</v>
      </c>
      <c r="K22" s="5"/>
      <c r="L22" s="5"/>
      <c r="M22" s="5"/>
      <c r="N22" s="5"/>
      <c r="O22" s="5"/>
      <c r="P22" s="5"/>
      <c r="Q22" s="5"/>
      <c r="R22" s="5"/>
      <c r="S22" s="3"/>
      <c r="T22" s="5"/>
      <c r="U22" s="3"/>
      <c r="V22" s="5"/>
      <c r="W22" s="5"/>
      <c r="X22" s="5"/>
      <c r="Y22" s="5"/>
      <c r="Z22" s="5"/>
      <c r="AA22" s="5"/>
      <c r="AB22" s="5"/>
      <c r="AC22" s="5"/>
      <c r="AD22" s="5"/>
      <c r="AE22" s="6"/>
      <c r="AF22" s="1"/>
      <c r="AG22"/>
      <c r="AH22"/>
      <c r="AI22"/>
      <c r="AJ22"/>
    </row>
    <row r="23" spans="1:36" s="4" customFormat="1" x14ac:dyDescent="0.25">
      <c r="A23" s="2"/>
      <c r="B23" s="71" t="s">
        <v>83</v>
      </c>
      <c r="C23" s="36" t="s">
        <v>54</v>
      </c>
      <c r="D23" s="291">
        <v>50</v>
      </c>
      <c r="E23" s="36">
        <f>E12*2/10</f>
        <v>3072</v>
      </c>
      <c r="F23" s="122"/>
      <c r="G23" s="197">
        <f>F23*1.0923</f>
        <v>0</v>
      </c>
      <c r="H23" s="198">
        <f>E23*F23</f>
        <v>0</v>
      </c>
      <c r="I23" s="38">
        <f>H23*1.0923</f>
        <v>0</v>
      </c>
      <c r="K23" s="5"/>
      <c r="L23" s="5"/>
      <c r="M23" s="5"/>
      <c r="N23" s="5"/>
      <c r="O23" s="5"/>
      <c r="P23" s="5"/>
      <c r="Q23" s="5"/>
      <c r="R23" s="5"/>
      <c r="S23" s="3"/>
      <c r="T23" s="5"/>
      <c r="U23" s="3"/>
      <c r="V23" s="5"/>
      <c r="W23" s="5"/>
      <c r="X23" s="5"/>
      <c r="Y23" s="5"/>
      <c r="Z23" s="5"/>
      <c r="AA23" s="5"/>
      <c r="AB23" s="5"/>
      <c r="AC23" s="5"/>
      <c r="AD23" s="5"/>
      <c r="AE23" s="6"/>
      <c r="AF23" s="1"/>
      <c r="AG23"/>
      <c r="AH23"/>
      <c r="AI23"/>
      <c r="AJ23"/>
    </row>
    <row r="24" spans="1:36" s="4" customFormat="1" ht="45" x14ac:dyDescent="0.25">
      <c r="A24" s="2"/>
      <c r="B24" s="71" t="s">
        <v>84</v>
      </c>
      <c r="C24" s="36" t="s">
        <v>54</v>
      </c>
      <c r="D24" s="291">
        <v>1000</v>
      </c>
      <c r="E24" s="36">
        <f>E12*2/60</f>
        <v>512</v>
      </c>
      <c r="F24" s="122"/>
      <c r="G24" s="196">
        <f>F24*1.0923</f>
        <v>0</v>
      </c>
      <c r="H24" s="37">
        <f>E24*F24</f>
        <v>0</v>
      </c>
      <c r="I24" s="38">
        <f t="shared" ref="I24:I25" si="5">H24*1.0923</f>
        <v>0</v>
      </c>
      <c r="K24" s="5"/>
      <c r="L24" s="5"/>
      <c r="M24" s="5"/>
      <c r="N24" s="5"/>
      <c r="O24" s="5"/>
      <c r="P24" s="5"/>
      <c r="Q24" s="5"/>
      <c r="R24" s="5"/>
      <c r="S24" s="3"/>
      <c r="T24" s="5"/>
      <c r="U24" s="3"/>
      <c r="V24" s="5"/>
      <c r="W24" s="5"/>
      <c r="X24" s="5"/>
      <c r="Y24" s="5"/>
      <c r="Z24" s="5"/>
      <c r="AA24" s="5"/>
      <c r="AB24" s="5"/>
      <c r="AC24" s="5"/>
      <c r="AD24" s="5"/>
      <c r="AE24" s="6"/>
      <c r="AF24" s="1"/>
      <c r="AG24"/>
      <c r="AH24"/>
      <c r="AI24"/>
      <c r="AJ24"/>
    </row>
    <row r="25" spans="1:36" s="4" customFormat="1" ht="30" x14ac:dyDescent="0.25">
      <c r="A25" s="2"/>
      <c r="B25" s="71" t="s">
        <v>85</v>
      </c>
      <c r="C25" s="36" t="s">
        <v>54</v>
      </c>
      <c r="D25" s="291">
        <v>1250</v>
      </c>
      <c r="E25" s="73">
        <f>E12*2/31</f>
        <v>990.9677419354839</v>
      </c>
      <c r="F25" s="122"/>
      <c r="G25" s="196">
        <f>F25*1.0923</f>
        <v>0</v>
      </c>
      <c r="H25" s="37">
        <f>E25*F25</f>
        <v>0</v>
      </c>
      <c r="I25" s="38">
        <f t="shared" si="5"/>
        <v>0</v>
      </c>
      <c r="K25" s="5"/>
      <c r="L25" s="5"/>
      <c r="M25" s="5"/>
      <c r="N25" s="5"/>
      <c r="O25" s="5"/>
      <c r="P25" s="5"/>
      <c r="Q25" s="5"/>
      <c r="R25" s="5"/>
      <c r="S25" s="3"/>
      <c r="T25" s="5"/>
      <c r="U25" s="3"/>
      <c r="V25" s="5"/>
      <c r="W25" s="5"/>
      <c r="X25" s="5"/>
      <c r="Y25" s="5"/>
      <c r="Z25" s="5"/>
      <c r="AA25" s="5"/>
      <c r="AB25" s="5"/>
      <c r="AC25" s="5"/>
      <c r="AD25" s="5"/>
      <c r="AE25" s="6"/>
      <c r="AF25" s="1"/>
      <c r="AG25"/>
      <c r="AH25"/>
      <c r="AI25"/>
      <c r="AJ25"/>
    </row>
    <row r="26" spans="1:36" s="4" customFormat="1" x14ac:dyDescent="0.25">
      <c r="A26" s="2"/>
      <c r="B26" s="72"/>
      <c r="C26" s="36"/>
      <c r="D26" s="62"/>
      <c r="E26" s="36"/>
      <c r="F26" s="37"/>
      <c r="G26" s="37"/>
      <c r="H26" s="37"/>
      <c r="I26" s="38"/>
      <c r="K26" s="5"/>
      <c r="L26" s="5"/>
      <c r="M26" s="5"/>
      <c r="N26" s="5"/>
      <c r="O26" s="5"/>
      <c r="P26" s="5"/>
      <c r="Q26" s="5"/>
      <c r="R26" s="5"/>
      <c r="S26" s="3"/>
      <c r="T26" s="5"/>
      <c r="U26" s="3"/>
      <c r="V26" s="5"/>
      <c r="W26" s="5"/>
      <c r="X26" s="5"/>
      <c r="Y26" s="5"/>
      <c r="Z26" s="5"/>
      <c r="AA26" s="5"/>
      <c r="AB26" s="5"/>
      <c r="AC26" s="5"/>
      <c r="AD26" s="5"/>
      <c r="AE26" s="6"/>
      <c r="AF26" s="1"/>
      <c r="AG26"/>
      <c r="AH26"/>
      <c r="AI26"/>
      <c r="AJ26"/>
    </row>
    <row r="27" spans="1:36" s="4" customFormat="1" ht="15" customHeight="1" x14ac:dyDescent="0.25">
      <c r="A27" s="2"/>
      <c r="B27" s="270" t="s">
        <v>87</v>
      </c>
      <c r="C27" s="47"/>
      <c r="D27" s="48"/>
      <c r="E27" s="49"/>
      <c r="F27" s="50"/>
      <c r="G27" s="50"/>
      <c r="H27" s="50">
        <f>SUM(H11:H26)</f>
        <v>828000</v>
      </c>
      <c r="I27" s="271">
        <f>H27*1.0923</f>
        <v>904424.4</v>
      </c>
      <c r="K27" s="5"/>
      <c r="L27" s="5"/>
      <c r="M27" s="5"/>
      <c r="N27" s="5"/>
      <c r="O27" s="5"/>
      <c r="P27" s="5"/>
      <c r="Q27" s="5"/>
      <c r="R27" s="5"/>
      <c r="S27" s="3"/>
      <c r="T27" s="5"/>
      <c r="U27" s="3"/>
      <c r="V27" s="5"/>
      <c r="W27" s="5"/>
      <c r="X27" s="5"/>
      <c r="Y27" s="5"/>
      <c r="Z27" s="5"/>
      <c r="AA27" s="5"/>
      <c r="AB27" s="5"/>
      <c r="AC27" s="5"/>
      <c r="AD27" s="5"/>
      <c r="AE27" s="6"/>
      <c r="AF27" s="1"/>
      <c r="AG27"/>
      <c r="AH27"/>
      <c r="AI27"/>
      <c r="AJ27"/>
    </row>
    <row r="28" spans="1:36" s="4" customFormat="1" ht="15" customHeight="1" x14ac:dyDescent="0.25">
      <c r="A28" s="2"/>
      <c r="B28" s="41"/>
      <c r="C28" s="25"/>
      <c r="D28" s="26"/>
      <c r="E28" s="27"/>
      <c r="F28" s="28"/>
      <c r="G28" s="28"/>
      <c r="H28" s="28"/>
      <c r="I28" s="40"/>
      <c r="K28" s="5"/>
      <c r="L28" s="5"/>
      <c r="M28" s="5"/>
      <c r="N28" s="5"/>
      <c r="O28" s="5"/>
      <c r="P28" s="5"/>
      <c r="Q28" s="5"/>
      <c r="R28" s="5"/>
      <c r="S28" s="3"/>
      <c r="T28" s="5"/>
      <c r="U28" s="3"/>
      <c r="V28" s="5"/>
      <c r="W28" s="5"/>
      <c r="X28" s="5"/>
      <c r="Y28" s="5"/>
      <c r="Z28" s="5"/>
      <c r="AA28" s="5"/>
      <c r="AB28" s="5"/>
      <c r="AC28" s="5"/>
      <c r="AD28" s="5"/>
      <c r="AE28" s="6"/>
      <c r="AF28" s="1"/>
      <c r="AG28"/>
      <c r="AH28"/>
      <c r="AI28"/>
      <c r="AJ28"/>
    </row>
    <row r="29" spans="1:36" s="4" customFormat="1" ht="15" customHeight="1" x14ac:dyDescent="0.25">
      <c r="A29" s="2"/>
      <c r="B29" s="282" t="s">
        <v>88</v>
      </c>
      <c r="C29" s="283" t="s">
        <v>89</v>
      </c>
      <c r="D29" s="254"/>
      <c r="E29" s="254"/>
      <c r="F29" s="51">
        <v>0.1</v>
      </c>
      <c r="G29" s="51"/>
      <c r="H29" s="134">
        <f>H27*F29</f>
        <v>82800</v>
      </c>
      <c r="I29" s="286">
        <f t="shared" ref="I29:I34" si="6">H29*1.0923</f>
        <v>90442.44</v>
      </c>
      <c r="K29" s="5"/>
      <c r="L29" s="5"/>
      <c r="M29" s="5"/>
      <c r="N29" s="5"/>
      <c r="O29" s="5"/>
      <c r="P29" s="5"/>
      <c r="Q29" s="5"/>
      <c r="R29" s="5"/>
      <c r="S29" s="3"/>
      <c r="T29" s="5"/>
      <c r="U29" s="3"/>
      <c r="V29" s="5"/>
      <c r="W29" s="5"/>
      <c r="X29" s="5"/>
      <c r="Y29" s="5"/>
      <c r="Z29" s="5"/>
      <c r="AA29" s="5"/>
      <c r="AB29" s="5"/>
      <c r="AC29" s="5"/>
      <c r="AD29" s="5"/>
      <c r="AE29" s="6"/>
      <c r="AF29" s="1"/>
      <c r="AG29"/>
      <c r="AH29"/>
      <c r="AI29"/>
      <c r="AJ29"/>
    </row>
    <row r="30" spans="1:36" s="4" customFormat="1" ht="15" customHeight="1" x14ac:dyDescent="0.25">
      <c r="A30" s="2"/>
      <c r="B30" s="41" t="s">
        <v>90</v>
      </c>
      <c r="C30" s="25"/>
      <c r="D30" s="66"/>
      <c r="E30" s="67"/>
      <c r="F30" s="29"/>
      <c r="G30" s="29"/>
      <c r="H30" s="28">
        <f>SUM(H27:H29)</f>
        <v>910800</v>
      </c>
      <c r="I30" s="40">
        <f t="shared" si="6"/>
        <v>994866.84000000008</v>
      </c>
      <c r="K30" s="5"/>
      <c r="L30" s="5"/>
      <c r="M30" s="5"/>
      <c r="N30" s="5"/>
      <c r="O30" s="5"/>
      <c r="P30" s="5"/>
      <c r="Q30" s="5"/>
      <c r="R30" s="5"/>
      <c r="S30" s="3"/>
      <c r="T30" s="5"/>
      <c r="U30" s="3"/>
      <c r="V30" s="5"/>
      <c r="W30" s="5"/>
      <c r="X30" s="5"/>
      <c r="Y30" s="5"/>
      <c r="Z30" s="5"/>
      <c r="AA30" s="5"/>
      <c r="AB30" s="5"/>
      <c r="AC30" s="5"/>
      <c r="AD30" s="5"/>
      <c r="AE30" s="6"/>
      <c r="AF30" s="1"/>
      <c r="AG30"/>
      <c r="AH30"/>
      <c r="AI30"/>
      <c r="AJ30"/>
    </row>
    <row r="31" spans="1:36" s="4" customFormat="1" ht="15" customHeight="1" x14ac:dyDescent="0.25">
      <c r="A31" s="2"/>
      <c r="B31" s="284" t="s">
        <v>91</v>
      </c>
      <c r="C31" s="285" t="s">
        <v>89</v>
      </c>
      <c r="D31" s="255"/>
      <c r="E31" s="255"/>
      <c r="F31" s="53">
        <v>0.1</v>
      </c>
      <c r="G31" s="53"/>
      <c r="H31" s="172">
        <f>H30*F31</f>
        <v>91080</v>
      </c>
      <c r="I31" s="286">
        <f t="shared" si="6"/>
        <v>99486.684000000008</v>
      </c>
      <c r="K31" s="5"/>
      <c r="L31" s="5"/>
      <c r="M31" s="5"/>
      <c r="N31" s="5"/>
      <c r="O31" s="5"/>
      <c r="P31" s="5"/>
      <c r="Q31" s="5"/>
      <c r="R31" s="5"/>
      <c r="S31" s="3"/>
      <c r="T31" s="5"/>
      <c r="U31" s="3"/>
      <c r="V31" s="5"/>
      <c r="W31" s="5"/>
      <c r="X31" s="5"/>
      <c r="Y31" s="5"/>
      <c r="Z31" s="5"/>
      <c r="AA31" s="5"/>
      <c r="AB31" s="5"/>
      <c r="AC31" s="5"/>
      <c r="AD31" s="5"/>
      <c r="AE31" s="6"/>
      <c r="AF31" s="1"/>
      <c r="AG31"/>
      <c r="AH31"/>
      <c r="AI31"/>
      <c r="AJ31"/>
    </row>
    <row r="32" spans="1:36" s="4" customFormat="1" ht="15" customHeight="1" thickBot="1" x14ac:dyDescent="0.3">
      <c r="A32" s="2"/>
      <c r="B32" s="54" t="s">
        <v>87</v>
      </c>
      <c r="C32" s="55"/>
      <c r="D32" s="68"/>
      <c r="E32" s="69"/>
      <c r="F32" s="56"/>
      <c r="G32" s="56"/>
      <c r="H32" s="173">
        <f>SUM(H30:H31)</f>
        <v>1001880</v>
      </c>
      <c r="I32" s="189">
        <f t="shared" si="6"/>
        <v>1094353.524</v>
      </c>
      <c r="K32" s="5"/>
      <c r="L32" s="5"/>
      <c r="M32" s="5"/>
      <c r="N32" s="5"/>
      <c r="O32" s="5"/>
      <c r="P32" s="5"/>
      <c r="Q32" s="5"/>
      <c r="R32" s="5"/>
      <c r="S32" s="3"/>
      <c r="T32" s="5"/>
      <c r="U32" s="3"/>
      <c r="V32" s="5"/>
      <c r="W32" s="5"/>
      <c r="X32" s="5"/>
      <c r="Y32" s="5"/>
      <c r="Z32" s="5"/>
      <c r="AA32" s="5"/>
      <c r="AB32" s="5"/>
      <c r="AC32" s="5"/>
      <c r="AD32" s="5"/>
      <c r="AE32" s="6"/>
      <c r="AF32" s="1"/>
      <c r="AG32"/>
      <c r="AH32"/>
      <c r="AI32"/>
      <c r="AJ32"/>
    </row>
    <row r="33" spans="1:36" s="4" customFormat="1" ht="15" customHeight="1" thickTop="1" x14ac:dyDescent="0.25">
      <c r="A33" s="2"/>
      <c r="B33" s="282" t="s">
        <v>92</v>
      </c>
      <c r="C33" s="287" t="s">
        <v>93</v>
      </c>
      <c r="D33" s="252"/>
      <c r="E33" s="252"/>
      <c r="F33" s="51">
        <v>0.25</v>
      </c>
      <c r="G33" s="51"/>
      <c r="H33" s="180">
        <f>H32*F33</f>
        <v>250470</v>
      </c>
      <c r="I33" s="297">
        <f t="shared" si="6"/>
        <v>273588.38099999999</v>
      </c>
      <c r="K33" s="5"/>
      <c r="L33" s="5"/>
      <c r="M33" s="5"/>
      <c r="N33" s="5"/>
      <c r="O33" s="5"/>
      <c r="P33" s="5"/>
      <c r="Q33" s="5"/>
      <c r="R33" s="5"/>
      <c r="S33" s="3"/>
      <c r="T33" s="5"/>
      <c r="U33" s="3"/>
      <c r="V33" s="5"/>
      <c r="W33" s="5"/>
      <c r="X33" s="5"/>
      <c r="Y33" s="5"/>
      <c r="Z33" s="5"/>
      <c r="AA33" s="5"/>
      <c r="AB33" s="5"/>
      <c r="AC33" s="5"/>
      <c r="AD33" s="5"/>
      <c r="AE33" s="6"/>
      <c r="AF33" s="1"/>
      <c r="AG33"/>
      <c r="AH33"/>
      <c r="AI33"/>
      <c r="AJ33"/>
    </row>
    <row r="34" spans="1:36" s="4" customFormat="1" ht="15" customHeight="1" thickBot="1" x14ac:dyDescent="0.3">
      <c r="A34" s="2"/>
      <c r="B34" s="288" t="s">
        <v>94</v>
      </c>
      <c r="C34" s="289" t="s">
        <v>103</v>
      </c>
      <c r="D34" s="253"/>
      <c r="E34" s="253"/>
      <c r="F34" s="52">
        <v>0.1</v>
      </c>
      <c r="G34" s="52"/>
      <c r="H34" s="174">
        <f>H33*F34</f>
        <v>25047</v>
      </c>
      <c r="I34" s="296">
        <f t="shared" si="6"/>
        <v>27358.838100000001</v>
      </c>
      <c r="K34" s="5"/>
      <c r="L34" s="5"/>
      <c r="M34" s="5"/>
      <c r="N34" s="5"/>
      <c r="O34" s="5"/>
      <c r="P34" s="5"/>
      <c r="Q34" s="5"/>
      <c r="R34" s="5"/>
      <c r="S34" s="3"/>
      <c r="T34" s="5"/>
      <c r="U34" s="3"/>
      <c r="V34" s="5"/>
      <c r="W34" s="5"/>
      <c r="X34" s="5"/>
      <c r="Y34" s="5"/>
      <c r="Z34" s="5"/>
      <c r="AA34" s="5"/>
      <c r="AB34" s="5"/>
      <c r="AC34" s="5"/>
      <c r="AD34" s="5"/>
      <c r="AE34" s="6"/>
      <c r="AF34" s="1"/>
      <c r="AG34"/>
      <c r="AH34"/>
      <c r="AI34"/>
      <c r="AJ34"/>
    </row>
    <row r="35" spans="1:36" s="4" customFormat="1" ht="15" customHeight="1" thickTop="1" x14ac:dyDescent="0.25">
      <c r="A35" s="2"/>
      <c r="B35" s="39"/>
      <c r="C35" s="22"/>
      <c r="D35" s="17"/>
      <c r="F35" s="7"/>
      <c r="G35" s="7"/>
      <c r="H35" s="7"/>
      <c r="I35" s="183"/>
      <c r="K35" s="5"/>
      <c r="L35" s="5"/>
      <c r="M35" s="5"/>
      <c r="N35" s="5"/>
      <c r="O35" s="5"/>
      <c r="P35" s="5"/>
      <c r="Q35" s="5"/>
      <c r="R35" s="5"/>
      <c r="S35" s="3"/>
      <c r="T35" s="5"/>
      <c r="U35" s="3"/>
      <c r="V35" s="5"/>
      <c r="W35" s="5"/>
      <c r="X35" s="5"/>
      <c r="Y35" s="5"/>
      <c r="Z35" s="5"/>
      <c r="AA35" s="5"/>
      <c r="AB35" s="5"/>
      <c r="AC35" s="5"/>
      <c r="AD35" s="5"/>
      <c r="AE35" s="6"/>
      <c r="AF35" s="1"/>
      <c r="AG35"/>
      <c r="AH35"/>
      <c r="AI35"/>
      <c r="AJ35"/>
    </row>
    <row r="36" spans="1:36" s="4" customFormat="1" ht="15" customHeight="1" thickBot="1" x14ac:dyDescent="0.3">
      <c r="A36" s="2"/>
      <c r="B36" s="43" t="s">
        <v>96</v>
      </c>
      <c r="C36" s="44"/>
      <c r="D36" s="45"/>
      <c r="E36" s="13"/>
      <c r="F36" s="46"/>
      <c r="G36" s="46"/>
      <c r="H36" s="46">
        <f>SUM(H32,H33,H34)</f>
        <v>1277397</v>
      </c>
      <c r="I36" s="107">
        <f>H36*1.0923</f>
        <v>1395300.7431000001</v>
      </c>
      <c r="K36" s="5"/>
      <c r="L36" s="5"/>
      <c r="M36" s="5"/>
      <c r="N36" s="5"/>
      <c r="O36" s="5"/>
      <c r="P36" s="5"/>
      <c r="Q36" s="5"/>
      <c r="R36" s="5"/>
      <c r="S36" s="3"/>
      <c r="T36" s="5"/>
      <c r="U36" s="3"/>
      <c r="V36" s="5"/>
      <c r="W36" s="5"/>
      <c r="X36" s="5"/>
      <c r="Y36" s="5"/>
      <c r="Z36" s="5"/>
      <c r="AA36" s="5"/>
      <c r="AB36" s="5"/>
      <c r="AC36" s="5"/>
      <c r="AD36" s="5"/>
      <c r="AE36" s="6"/>
      <c r="AF36" s="1"/>
      <c r="AG36"/>
      <c r="AH36"/>
      <c r="AI36"/>
      <c r="AJ36"/>
    </row>
  </sheetData>
  <mergeCells count="6">
    <mergeCell ref="C34:E34"/>
    <mergeCell ref="C29:E29"/>
    <mergeCell ref="C31:E31"/>
    <mergeCell ref="C33:E33"/>
    <mergeCell ref="B2:I2"/>
    <mergeCell ref="B3:I3"/>
  </mergeCells>
  <dataValidations count="6">
    <dataValidation allowBlank="1" showInputMessage="1" showErrorMessage="1" promptTitle="Bike Lane Ahead" prompt="Enter additional quanities for this type of sign, if desired or required." sqref="E18" xr:uid="{D4DC470D-EC73-4AD2-AE1D-C0C4F0E06F81}"/>
    <dataValidation allowBlank="1" showInputMessage="1" showErrorMessage="1" promptTitle="Bike Lane Ends" prompt="Enter additional quanities for this type of sign, if desired or required." sqref="E19" xr:uid="{0C9696A4-2C85-4DAF-8409-29ADF31BAACF}"/>
    <dataValidation allowBlank="1" showInputMessage="1" showErrorMessage="1" promptTitle="Bikes May Use Full Lane" prompt="Enter additional quanities for this type of sign, if desired or required." sqref="E21" xr:uid="{4A48D843-A10C-4AE9-B3E5-01D95B30341D}"/>
    <dataValidation allowBlank="1" showInputMessage="1" showErrorMessage="1" promptTitle="Passive Unit Cost" prompt="The &quot;Passive Unit Cost&quot; is a locked cell which states the current unit price for each feature.  In the &quot;Active Unit Cost&quot; cell, type &quot;=&quot; and select the same &quot;Passive Unit Cost&quot; of the same feature. The subtotal will automatically update. " sqref="D23" xr:uid="{0C02BCC2-9D2D-4F19-8950-60B8BC627519}"/>
    <dataValidation allowBlank="1" showInputMessage="1" showErrorMessage="1" promptTitle="Flex Posts" prompt="Physical separation to deter motor vehicle infringement onto the bike lane. Passive unit cost is a placeholder for each separator's unit cost.  The Active Unit Cost can be user adjusted depending on which separator is preferred for the project." sqref="F23:G23" xr:uid="{5B21E6F9-2590-482D-A5D0-E11371E4DFF3}"/>
    <dataValidation allowBlank="1" showInputMessage="1" showErrorMessage="1" prompt="2025 cost values are estimated by applying a 9.23% inflation rate to 2022 costs." sqref="G10 I10 G16 I16 G22 I22" xr:uid="{55E1D5A6-8270-4428-A5D2-AEA0DBF8A30C}"/>
  </dataValidations>
  <pageMargins left="0.25" right="0.25" top="0.75" bottom="0.75" header="0.3" footer="0.3"/>
  <pageSetup paperSize="3" scale="78" fitToHeight="0" orientation="landscape" r:id="rId1"/>
  <ignoredErrors>
    <ignoredError sqref="H32 H11:H21 H23:H26" formula="1"/>
    <ignoredError sqref="G23:G2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E8788-8A73-4E90-A987-32358D55AF2F}">
  <sheetPr>
    <pageSetUpPr fitToPage="1"/>
  </sheetPr>
  <dimension ref="A1:AJ45"/>
  <sheetViews>
    <sheetView topLeftCell="A20" zoomScaleNormal="100" workbookViewId="0">
      <selection activeCell="K24" sqref="K24"/>
    </sheetView>
  </sheetViews>
  <sheetFormatPr defaultRowHeight="15" x14ac:dyDescent="0.25"/>
  <cols>
    <col min="1" max="1" width="8.5703125" style="2" customWidth="1"/>
    <col min="2" max="2" width="26" style="1" customWidth="1"/>
    <col min="3" max="3" width="12" style="4" customWidth="1"/>
    <col min="4" max="4" width="8.5703125" style="4" customWidth="1"/>
    <col min="5" max="5" width="12.42578125" style="3" customWidth="1"/>
    <col min="6" max="6" width="27" style="3" hidden="1" customWidth="1"/>
    <col min="7" max="7" width="27" style="3" customWidth="1"/>
    <col min="8" max="8" width="14" style="3" hidden="1" customWidth="1"/>
    <col min="9" max="9" width="14" style="3" customWidth="1"/>
    <col min="10" max="10" width="13.85546875" style="4" customWidth="1"/>
    <col min="11" max="11" width="30.5703125" style="5" customWidth="1"/>
    <col min="12" max="12" width="23.8554687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61.5" customHeight="1" x14ac:dyDescent="0.25">
      <c r="A2" s="10"/>
      <c r="B2" s="225" t="s">
        <v>110</v>
      </c>
      <c r="C2" s="226"/>
      <c r="D2" s="226"/>
      <c r="E2" s="226"/>
      <c r="F2" s="226"/>
      <c r="G2" s="226"/>
      <c r="H2" s="226"/>
      <c r="I2" s="227"/>
      <c r="J2" s="10"/>
      <c r="K2" s="121" t="s">
        <v>111</v>
      </c>
    </row>
    <row r="3" spans="1:36" s="5" customFormat="1" ht="15.75" customHeight="1" thickBot="1" x14ac:dyDescent="0.3">
      <c r="A3" s="10"/>
      <c r="B3" s="266" t="s">
        <v>99</v>
      </c>
      <c r="C3" s="267"/>
      <c r="D3" s="267"/>
      <c r="E3" s="267"/>
      <c r="F3" s="267"/>
      <c r="G3" s="267"/>
      <c r="H3" s="267"/>
      <c r="I3" s="268"/>
      <c r="J3" s="10"/>
      <c r="S3" s="3"/>
      <c r="U3" s="3"/>
      <c r="AE3" s="6"/>
      <c r="AF3" s="1"/>
      <c r="AG3"/>
      <c r="AH3"/>
      <c r="AI3"/>
      <c r="AJ3"/>
    </row>
    <row r="4" spans="1:36" s="5" customFormat="1" x14ac:dyDescent="0.25">
      <c r="A4" s="10"/>
      <c r="B4" s="272" t="s">
        <v>48</v>
      </c>
      <c r="C4" s="60"/>
      <c r="D4" s="60"/>
      <c r="E4" s="293" t="s">
        <v>49</v>
      </c>
      <c r="F4" s="30"/>
      <c r="G4" s="30"/>
      <c r="H4" s="138"/>
      <c r="I4" s="181"/>
      <c r="J4" s="10"/>
      <c r="K4" s="10"/>
      <c r="S4" s="3"/>
      <c r="U4" s="3"/>
      <c r="AE4" s="6"/>
      <c r="AF4" s="1"/>
      <c r="AG4"/>
      <c r="AH4"/>
      <c r="AI4"/>
      <c r="AJ4"/>
    </row>
    <row r="5" spans="1:36" s="5" customFormat="1" ht="15.75" x14ac:dyDescent="0.25">
      <c r="A5" s="10"/>
      <c r="B5" s="31" t="s">
        <v>50</v>
      </c>
      <c r="C5" s="21" t="s">
        <v>51</v>
      </c>
      <c r="E5" s="24">
        <f>E6*5280</f>
        <v>7391.9999999999991</v>
      </c>
      <c r="F5" s="21"/>
      <c r="G5" s="21"/>
      <c r="H5" s="19"/>
      <c r="I5" s="32"/>
      <c r="J5" s="10"/>
      <c r="K5" s="10"/>
      <c r="S5" s="3"/>
      <c r="U5" s="3"/>
      <c r="AE5" s="6"/>
      <c r="AF5" s="1"/>
      <c r="AG5"/>
      <c r="AH5"/>
      <c r="AI5"/>
      <c r="AJ5"/>
    </row>
    <row r="6" spans="1:36" s="5" customFormat="1" ht="15.75" x14ac:dyDescent="0.25">
      <c r="A6" s="10"/>
      <c r="B6" s="31" t="s">
        <v>50</v>
      </c>
      <c r="C6" s="21" t="s">
        <v>52</v>
      </c>
      <c r="E6" s="117">
        <v>1.4</v>
      </c>
      <c r="F6" s="21"/>
      <c r="G6" s="21"/>
      <c r="H6" s="19"/>
      <c r="I6" s="32"/>
      <c r="J6" s="10"/>
      <c r="K6" s="10"/>
      <c r="S6" s="3"/>
      <c r="U6" s="3"/>
      <c r="AE6" s="6"/>
      <c r="AF6" s="1"/>
      <c r="AG6"/>
      <c r="AH6"/>
      <c r="AI6"/>
      <c r="AJ6"/>
    </row>
    <row r="7" spans="1:36" s="5" customFormat="1" ht="15.75" x14ac:dyDescent="0.25">
      <c r="A7" s="10"/>
      <c r="B7" s="33" t="s">
        <v>53</v>
      </c>
      <c r="C7" s="2" t="s">
        <v>54</v>
      </c>
      <c r="E7" s="118">
        <v>20</v>
      </c>
      <c r="F7" s="7"/>
      <c r="G7" s="7"/>
      <c r="H7" s="19"/>
      <c r="I7" s="32"/>
      <c r="J7" s="10"/>
      <c r="K7" s="10"/>
      <c r="S7" s="3"/>
      <c r="U7" s="3"/>
      <c r="AE7" s="6"/>
      <c r="AF7" s="1"/>
      <c r="AG7"/>
      <c r="AH7"/>
      <c r="AI7"/>
      <c r="AJ7"/>
    </row>
    <row r="8" spans="1:36" s="5" customFormat="1" ht="15.75" x14ac:dyDescent="0.25">
      <c r="A8" s="10"/>
      <c r="B8" s="34" t="s">
        <v>55</v>
      </c>
      <c r="C8" s="64" t="s">
        <v>51</v>
      </c>
      <c r="E8" s="118">
        <v>40</v>
      </c>
      <c r="F8" s="7"/>
      <c r="G8" s="7"/>
      <c r="H8" s="19"/>
      <c r="I8" s="32"/>
      <c r="J8" s="10"/>
      <c r="K8" s="10"/>
      <c r="S8" s="3"/>
      <c r="U8" s="3"/>
      <c r="AE8" s="6"/>
      <c r="AF8" s="1"/>
      <c r="AG8"/>
      <c r="AH8"/>
      <c r="AI8"/>
      <c r="AJ8"/>
    </row>
    <row r="9" spans="1:36" s="5" customFormat="1" ht="15.75" x14ac:dyDescent="0.25">
      <c r="A9" s="10"/>
      <c r="B9" s="34"/>
      <c r="C9" s="64"/>
      <c r="E9" s="24"/>
      <c r="F9" s="37"/>
      <c r="G9" s="37"/>
      <c r="H9" s="19"/>
      <c r="I9" s="32"/>
      <c r="J9" s="10"/>
      <c r="K9" s="10"/>
      <c r="S9" s="3"/>
      <c r="U9" s="3"/>
      <c r="AE9" s="6"/>
      <c r="AF9" s="1"/>
      <c r="AG9"/>
      <c r="AH9"/>
      <c r="AI9"/>
      <c r="AJ9"/>
    </row>
    <row r="10" spans="1:36" s="5" customFormat="1" x14ac:dyDescent="0.25">
      <c r="A10" s="10"/>
      <c r="B10" s="274" t="s">
        <v>56</v>
      </c>
      <c r="C10" s="75"/>
      <c r="D10" s="70"/>
      <c r="E10" s="275" t="s">
        <v>49</v>
      </c>
      <c r="F10" s="20" t="s">
        <v>57</v>
      </c>
      <c r="G10" s="281" t="s">
        <v>58</v>
      </c>
      <c r="H10" s="20" t="s">
        <v>59</v>
      </c>
      <c r="I10" s="281" t="s">
        <v>60</v>
      </c>
      <c r="J10" s="10"/>
      <c r="K10" s="10"/>
      <c r="S10" s="3"/>
      <c r="U10" s="3"/>
      <c r="AE10" s="6"/>
      <c r="AF10" s="1"/>
      <c r="AG10"/>
      <c r="AH10"/>
      <c r="AI10"/>
      <c r="AJ10"/>
    </row>
    <row r="11" spans="1:36" s="5" customFormat="1" ht="15.75" x14ac:dyDescent="0.25">
      <c r="A11" s="10"/>
      <c r="B11" s="34" t="s">
        <v>61</v>
      </c>
      <c r="C11" s="64" t="s">
        <v>54</v>
      </c>
      <c r="E11" s="24">
        <f>E5*2/300+E7</f>
        <v>69.28</v>
      </c>
      <c r="F11" s="37">
        <v>500</v>
      </c>
      <c r="G11" s="37">
        <f>F11*1.0923</f>
        <v>546.15</v>
      </c>
      <c r="H11" s="19">
        <f>E11*F11</f>
        <v>34640</v>
      </c>
      <c r="I11" s="32">
        <f>H11*1.0923</f>
        <v>37837.272000000004</v>
      </c>
      <c r="J11" s="10"/>
      <c r="K11" s="10"/>
      <c r="S11" s="3"/>
      <c r="U11" s="3"/>
      <c r="AE11" s="6"/>
      <c r="AF11" s="1"/>
      <c r="AG11"/>
      <c r="AH11"/>
      <c r="AI11"/>
      <c r="AJ11"/>
    </row>
    <row r="12" spans="1:36" s="5" customFormat="1" ht="30" x14ac:dyDescent="0.25">
      <c r="A12" s="10"/>
      <c r="B12" s="61" t="s">
        <v>62</v>
      </c>
      <c r="C12" s="64" t="s">
        <v>51</v>
      </c>
      <c r="E12" s="24">
        <f>E5-(E7*E8)</f>
        <v>6591.9999999999991</v>
      </c>
      <c r="F12" s="37">
        <v>20</v>
      </c>
      <c r="G12" s="37">
        <f t="shared" ref="G12:G15" si="0">F12*1.0923</f>
        <v>21.846</v>
      </c>
      <c r="H12" s="19">
        <f>E12*F12</f>
        <v>131839.99999999997</v>
      </c>
      <c r="I12" s="32">
        <f t="shared" ref="I12:I15" si="1">H12*1.0923</f>
        <v>144008.83199999997</v>
      </c>
      <c r="J12" s="10"/>
      <c r="K12" s="10"/>
      <c r="S12" s="3"/>
      <c r="U12" s="3"/>
      <c r="AE12" s="6"/>
      <c r="AF12" s="1"/>
      <c r="AG12"/>
      <c r="AH12"/>
      <c r="AI12"/>
      <c r="AJ12"/>
    </row>
    <row r="13" spans="1:36" s="5" customFormat="1" ht="45" x14ac:dyDescent="0.25">
      <c r="A13" s="10"/>
      <c r="B13" s="61" t="s">
        <v>63</v>
      </c>
      <c r="C13" s="64" t="s">
        <v>51</v>
      </c>
      <c r="E13" s="24">
        <f>E5-(E7*E9)*4.25</f>
        <v>7391.9999999999991</v>
      </c>
      <c r="F13" s="37">
        <v>20</v>
      </c>
      <c r="G13" s="37">
        <f t="shared" si="0"/>
        <v>21.846</v>
      </c>
      <c r="H13" s="19">
        <f>E13*F13</f>
        <v>147839.99999999997</v>
      </c>
      <c r="I13" s="32">
        <f t="shared" si="1"/>
        <v>161485.63199999998</v>
      </c>
      <c r="J13" s="10"/>
      <c r="K13" s="10"/>
      <c r="S13" s="3"/>
      <c r="U13" s="3"/>
      <c r="AE13" s="6"/>
      <c r="AF13" s="1"/>
      <c r="AG13"/>
      <c r="AH13"/>
      <c r="AI13"/>
      <c r="AJ13"/>
    </row>
    <row r="14" spans="1:36" s="5" customFormat="1" ht="30" x14ac:dyDescent="0.25">
      <c r="A14" s="10"/>
      <c r="B14" s="61" t="s">
        <v>64</v>
      </c>
      <c r="C14" s="64" t="s">
        <v>51</v>
      </c>
      <c r="D14" s="24"/>
      <c r="E14" s="119">
        <v>0</v>
      </c>
      <c r="F14" s="37">
        <v>20</v>
      </c>
      <c r="G14" s="37">
        <f t="shared" si="0"/>
        <v>21.846</v>
      </c>
      <c r="H14" s="19">
        <f>E14*F14</f>
        <v>0</v>
      </c>
      <c r="I14" s="32">
        <f t="shared" si="1"/>
        <v>0</v>
      </c>
      <c r="J14" s="10"/>
      <c r="K14" s="10"/>
      <c r="S14" s="3"/>
      <c r="U14" s="3"/>
      <c r="AE14" s="6"/>
      <c r="AF14" s="1"/>
      <c r="AG14"/>
      <c r="AH14"/>
      <c r="AI14"/>
      <c r="AJ14"/>
    </row>
    <row r="15" spans="1:36" s="5" customFormat="1" ht="15.75" x14ac:dyDescent="0.25">
      <c r="A15" s="10"/>
      <c r="B15" s="61" t="s">
        <v>65</v>
      </c>
      <c r="C15" s="64" t="s">
        <v>66</v>
      </c>
      <c r="D15" s="24"/>
      <c r="E15" s="24">
        <f>((E8+20)*E7)*12</f>
        <v>14400</v>
      </c>
      <c r="F15" s="37">
        <v>20</v>
      </c>
      <c r="G15" s="37">
        <f t="shared" si="0"/>
        <v>21.846</v>
      </c>
      <c r="H15" s="19">
        <f>E15*F15</f>
        <v>288000</v>
      </c>
      <c r="I15" s="32">
        <f t="shared" si="1"/>
        <v>314582.40000000002</v>
      </c>
      <c r="J15" s="10"/>
      <c r="K15" s="10"/>
      <c r="S15" s="3"/>
      <c r="U15" s="3"/>
      <c r="AE15" s="6"/>
      <c r="AF15" s="1"/>
      <c r="AG15"/>
      <c r="AH15"/>
      <c r="AI15"/>
      <c r="AJ15"/>
    </row>
    <row r="16" spans="1:36" ht="30" x14ac:dyDescent="0.25">
      <c r="B16" s="274" t="s">
        <v>67</v>
      </c>
      <c r="C16" s="278" t="s">
        <v>68</v>
      </c>
      <c r="D16" s="279" t="s">
        <v>69</v>
      </c>
      <c r="E16" s="280" t="s">
        <v>49</v>
      </c>
      <c r="F16" s="20" t="s">
        <v>57</v>
      </c>
      <c r="G16" s="281" t="s">
        <v>58</v>
      </c>
      <c r="H16" s="20" t="s">
        <v>59</v>
      </c>
      <c r="I16" s="281" t="s">
        <v>60</v>
      </c>
    </row>
    <row r="17" spans="1:36" ht="15.75" x14ac:dyDescent="0.25">
      <c r="B17" s="71" t="s">
        <v>70</v>
      </c>
      <c r="C17" s="36" t="s">
        <v>71</v>
      </c>
      <c r="D17" s="24">
        <v>3</v>
      </c>
      <c r="E17" s="62">
        <f>E6*2+E7+2</f>
        <v>24.8</v>
      </c>
      <c r="F17" s="37">
        <v>50</v>
      </c>
      <c r="G17" s="37">
        <f>F17*1.0923</f>
        <v>54.615000000000002</v>
      </c>
      <c r="H17" s="37">
        <f>D17*E17*F17</f>
        <v>3720.0000000000005</v>
      </c>
      <c r="I17" s="38">
        <f>H17*1.0923</f>
        <v>4063.3560000000007</v>
      </c>
    </row>
    <row r="18" spans="1:36" s="4" customFormat="1" x14ac:dyDescent="0.25">
      <c r="A18" s="2"/>
      <c r="B18" s="71" t="s">
        <v>72</v>
      </c>
      <c r="C18" s="36" t="s">
        <v>73</v>
      </c>
      <c r="D18" s="62">
        <v>1.3</v>
      </c>
      <c r="E18" s="124">
        <v>0</v>
      </c>
      <c r="F18" s="37">
        <v>50</v>
      </c>
      <c r="G18" s="37">
        <f t="shared" ref="G18:G21" si="2">F18*1.0923</f>
        <v>54.615000000000002</v>
      </c>
      <c r="H18" s="37">
        <f>D18*E18*F18</f>
        <v>0</v>
      </c>
      <c r="I18" s="38">
        <f t="shared" ref="I18:I21" si="3">H18*1.0923</f>
        <v>0</v>
      </c>
      <c r="K18" s="5"/>
      <c r="L18" s="5"/>
      <c r="M18" s="5"/>
      <c r="N18" s="5"/>
      <c r="O18" s="5"/>
      <c r="P18" s="5"/>
      <c r="Q18" s="5"/>
      <c r="R18" s="5"/>
      <c r="S18" s="3"/>
      <c r="T18" s="5"/>
      <c r="U18" s="3"/>
      <c r="V18" s="5"/>
      <c r="W18" s="5"/>
      <c r="X18" s="5"/>
      <c r="Y18" s="5"/>
      <c r="Z18" s="5"/>
      <c r="AA18" s="5"/>
      <c r="AB18" s="5"/>
      <c r="AC18" s="5"/>
      <c r="AD18" s="5"/>
      <c r="AE18" s="6"/>
      <c r="AF18" s="1"/>
      <c r="AG18"/>
      <c r="AH18"/>
      <c r="AI18"/>
      <c r="AJ18"/>
    </row>
    <row r="19" spans="1:36" s="4" customFormat="1" x14ac:dyDescent="0.25">
      <c r="A19" s="2"/>
      <c r="B19" s="71" t="s">
        <v>74</v>
      </c>
      <c r="C19" s="36" t="s">
        <v>73</v>
      </c>
      <c r="D19" s="62">
        <v>1.3</v>
      </c>
      <c r="E19" s="124">
        <v>0</v>
      </c>
      <c r="F19" s="37">
        <v>50</v>
      </c>
      <c r="G19" s="37">
        <f t="shared" si="2"/>
        <v>54.615000000000002</v>
      </c>
      <c r="H19" s="37">
        <f t="shared" ref="H19:H21" si="4">D19*E19*F19</f>
        <v>0</v>
      </c>
      <c r="I19" s="38">
        <f t="shared" si="3"/>
        <v>0</v>
      </c>
      <c r="K19" s="5"/>
      <c r="L19" s="5"/>
      <c r="M19" s="5"/>
      <c r="N19" s="5"/>
      <c r="O19" s="5"/>
      <c r="P19" s="5"/>
      <c r="Q19" s="5"/>
      <c r="R19" s="5"/>
      <c r="S19" s="3"/>
      <c r="T19" s="5"/>
      <c r="U19" s="3"/>
      <c r="V19" s="5"/>
      <c r="W19" s="5"/>
      <c r="X19" s="5"/>
      <c r="Y19" s="5"/>
      <c r="Z19" s="5"/>
      <c r="AA19" s="5"/>
      <c r="AB19" s="5"/>
      <c r="AC19" s="5"/>
      <c r="AD19" s="5"/>
      <c r="AE19" s="6"/>
      <c r="AF19" s="1"/>
      <c r="AG19"/>
      <c r="AH19"/>
      <c r="AI19"/>
      <c r="AJ19"/>
    </row>
    <row r="20" spans="1:36" s="4" customFormat="1" ht="30" x14ac:dyDescent="0.25">
      <c r="A20" s="2"/>
      <c r="B20" s="71" t="s">
        <v>75</v>
      </c>
      <c r="C20" s="36" t="s">
        <v>76</v>
      </c>
      <c r="D20" s="62">
        <v>7.5</v>
      </c>
      <c r="E20" s="62">
        <f>E7</f>
        <v>20</v>
      </c>
      <c r="F20" s="37">
        <v>50</v>
      </c>
      <c r="G20" s="37">
        <f t="shared" si="2"/>
        <v>54.615000000000002</v>
      </c>
      <c r="H20" s="37">
        <f t="shared" si="4"/>
        <v>7500</v>
      </c>
      <c r="I20" s="38">
        <f t="shared" si="3"/>
        <v>8192.25</v>
      </c>
      <c r="K20" s="5"/>
      <c r="L20" s="5"/>
      <c r="M20" s="5"/>
      <c r="N20" s="5"/>
      <c r="O20" s="5"/>
      <c r="P20" s="5"/>
      <c r="Q20" s="5"/>
      <c r="R20" s="5"/>
      <c r="S20" s="3"/>
      <c r="T20" s="5"/>
      <c r="U20" s="3"/>
      <c r="V20" s="5"/>
      <c r="W20" s="5"/>
      <c r="X20" s="5"/>
      <c r="Y20" s="5"/>
      <c r="Z20" s="5"/>
      <c r="AA20" s="5"/>
      <c r="AB20" s="5"/>
      <c r="AC20" s="5"/>
      <c r="AD20" s="5"/>
      <c r="AE20" s="6"/>
      <c r="AF20" s="1"/>
      <c r="AG20"/>
      <c r="AH20"/>
      <c r="AI20"/>
      <c r="AJ20"/>
    </row>
    <row r="21" spans="1:36" s="4" customFormat="1" ht="30" x14ac:dyDescent="0.25">
      <c r="A21" s="2"/>
      <c r="B21" s="71" t="s">
        <v>77</v>
      </c>
      <c r="C21" s="36" t="s">
        <v>78</v>
      </c>
      <c r="D21" s="62">
        <v>6.25</v>
      </c>
      <c r="E21" s="120">
        <v>0</v>
      </c>
      <c r="F21" s="37">
        <v>50</v>
      </c>
      <c r="G21" s="37">
        <f t="shared" si="2"/>
        <v>54.615000000000002</v>
      </c>
      <c r="H21" s="37">
        <f t="shared" si="4"/>
        <v>0</v>
      </c>
      <c r="I21" s="38">
        <f t="shared" si="3"/>
        <v>0</v>
      </c>
      <c r="K21" s="5"/>
      <c r="L21" s="5"/>
      <c r="M21" s="5"/>
      <c r="N21" s="5"/>
      <c r="O21" s="5"/>
      <c r="P21" s="5"/>
      <c r="Q21" s="5"/>
      <c r="R21" s="5"/>
      <c r="S21" s="3"/>
      <c r="T21" s="5"/>
      <c r="U21" s="3"/>
      <c r="V21" s="5"/>
      <c r="W21" s="5"/>
      <c r="X21" s="5"/>
      <c r="Y21" s="5"/>
      <c r="Z21" s="5"/>
      <c r="AA21" s="5"/>
      <c r="AB21" s="5"/>
      <c r="AC21" s="5"/>
      <c r="AD21" s="5"/>
      <c r="AE21" s="6"/>
      <c r="AF21" s="1"/>
      <c r="AG21"/>
      <c r="AH21"/>
      <c r="AI21"/>
      <c r="AJ21"/>
    </row>
    <row r="22" spans="1:36" s="4" customFormat="1" ht="60" x14ac:dyDescent="0.25">
      <c r="A22" s="2"/>
      <c r="B22" s="274" t="s">
        <v>79</v>
      </c>
      <c r="C22" s="65"/>
      <c r="D22" s="298" t="s">
        <v>80</v>
      </c>
      <c r="E22" s="280" t="s">
        <v>49</v>
      </c>
      <c r="F22" s="134" t="s">
        <v>108</v>
      </c>
      <c r="G22" s="276" t="s">
        <v>82</v>
      </c>
      <c r="H22" s="20" t="s">
        <v>59</v>
      </c>
      <c r="I22" s="281" t="s">
        <v>60</v>
      </c>
      <c r="K22" s="5"/>
      <c r="L22" s="5"/>
      <c r="M22" s="5"/>
      <c r="N22" s="5"/>
      <c r="O22" s="5"/>
      <c r="P22" s="5"/>
      <c r="Q22" s="5"/>
      <c r="R22" s="5"/>
      <c r="S22" s="3"/>
      <c r="T22" s="5"/>
      <c r="U22" s="3"/>
      <c r="V22" s="5"/>
      <c r="W22" s="5"/>
      <c r="X22" s="5"/>
      <c r="Y22" s="5"/>
      <c r="Z22" s="5"/>
      <c r="AA22" s="5"/>
      <c r="AB22" s="5"/>
      <c r="AC22" s="5"/>
      <c r="AD22" s="5"/>
      <c r="AE22" s="6"/>
      <c r="AF22" s="1"/>
      <c r="AG22"/>
      <c r="AH22"/>
      <c r="AI22"/>
      <c r="AJ22"/>
    </row>
    <row r="23" spans="1:36" s="4" customFormat="1" x14ac:dyDescent="0.25">
      <c r="A23" s="2"/>
      <c r="B23" s="71" t="s">
        <v>83</v>
      </c>
      <c r="C23" s="36" t="s">
        <v>54</v>
      </c>
      <c r="D23" s="299">
        <v>50</v>
      </c>
      <c r="E23" s="36">
        <f>E12/10+E7*2</f>
        <v>699.19999999999993</v>
      </c>
      <c r="F23" s="193">
        <v>0</v>
      </c>
      <c r="G23" s="195">
        <f>F23*1.0923</f>
        <v>0</v>
      </c>
      <c r="H23" s="37">
        <f>E23*F23</f>
        <v>0</v>
      </c>
      <c r="I23" s="38">
        <f>H23*1.0923</f>
        <v>0</v>
      </c>
      <c r="K23" s="5"/>
      <c r="L23" s="5"/>
      <c r="M23" s="5"/>
      <c r="N23" s="5"/>
      <c r="O23" s="5"/>
      <c r="P23" s="5"/>
      <c r="Q23" s="5"/>
      <c r="R23" s="5"/>
      <c r="S23" s="3"/>
      <c r="T23" s="5"/>
      <c r="U23" s="3"/>
      <c r="V23" s="5"/>
      <c r="W23" s="5"/>
      <c r="X23" s="5"/>
      <c r="Y23" s="5"/>
      <c r="Z23" s="5"/>
      <c r="AA23" s="5"/>
      <c r="AB23" s="5"/>
      <c r="AC23" s="5"/>
      <c r="AD23" s="5"/>
      <c r="AE23" s="6"/>
      <c r="AF23" s="1"/>
      <c r="AG23"/>
      <c r="AH23"/>
      <c r="AI23"/>
      <c r="AJ23"/>
    </row>
    <row r="24" spans="1:36" s="4" customFormat="1" ht="45" x14ac:dyDescent="0.25">
      <c r="A24" s="2"/>
      <c r="B24" s="71" t="s">
        <v>84</v>
      </c>
      <c r="C24" s="36" t="s">
        <v>54</v>
      </c>
      <c r="D24" s="291">
        <v>1000</v>
      </c>
      <c r="E24" s="73">
        <f>E12/60</f>
        <v>109.86666666666665</v>
      </c>
      <c r="F24" s="192">
        <v>0</v>
      </c>
      <c r="G24" s="195">
        <f t="shared" ref="G24:G26" si="5">F24*1.0923</f>
        <v>0</v>
      </c>
      <c r="H24" s="37">
        <f>E24*F24</f>
        <v>0</v>
      </c>
      <c r="I24" s="38">
        <f t="shared" ref="I24:I26" si="6">H24*1.0923</f>
        <v>0</v>
      </c>
      <c r="K24" s="5"/>
      <c r="L24" s="5"/>
      <c r="M24" s="5"/>
      <c r="N24" s="5"/>
      <c r="O24" s="5"/>
      <c r="P24" s="5"/>
      <c r="Q24" s="5"/>
      <c r="R24" s="5"/>
      <c r="S24" s="3"/>
      <c r="T24" s="5"/>
      <c r="U24" s="3"/>
      <c r="V24" s="5"/>
      <c r="W24" s="5"/>
      <c r="X24" s="5"/>
      <c r="Y24" s="5"/>
      <c r="Z24" s="5"/>
      <c r="AA24" s="5"/>
      <c r="AB24" s="5"/>
      <c r="AC24" s="5"/>
      <c r="AD24" s="5"/>
      <c r="AE24" s="6"/>
      <c r="AF24" s="1"/>
      <c r="AG24"/>
      <c r="AH24"/>
      <c r="AI24"/>
      <c r="AJ24"/>
    </row>
    <row r="25" spans="1:36" s="4" customFormat="1" ht="30" x14ac:dyDescent="0.25">
      <c r="A25" s="2"/>
      <c r="B25" s="71" t="s">
        <v>85</v>
      </c>
      <c r="C25" s="36" t="s">
        <v>54</v>
      </c>
      <c r="D25" s="291">
        <v>1250</v>
      </c>
      <c r="E25" s="73">
        <f>E12/31+E7</f>
        <v>232.64516129032256</v>
      </c>
      <c r="F25" s="192">
        <v>0</v>
      </c>
      <c r="G25" s="195">
        <f t="shared" si="5"/>
        <v>0</v>
      </c>
      <c r="H25" s="37">
        <f>E25*F25</f>
        <v>0</v>
      </c>
      <c r="I25" s="38">
        <f t="shared" si="6"/>
        <v>0</v>
      </c>
      <c r="K25" s="5"/>
      <c r="L25" s="5"/>
      <c r="M25" s="5"/>
      <c r="N25" s="5"/>
      <c r="O25" s="5"/>
      <c r="P25" s="5"/>
      <c r="Q25" s="5"/>
      <c r="R25" s="5"/>
      <c r="S25" s="3"/>
      <c r="T25" s="5"/>
      <c r="U25" s="3"/>
      <c r="V25" s="5"/>
      <c r="W25" s="5"/>
      <c r="X25" s="5"/>
      <c r="Y25" s="5"/>
      <c r="Z25" s="5"/>
      <c r="AA25" s="5"/>
      <c r="AB25" s="5"/>
      <c r="AC25" s="5"/>
      <c r="AD25" s="5"/>
      <c r="AE25" s="6"/>
      <c r="AF25" s="1"/>
      <c r="AG25"/>
      <c r="AH25"/>
      <c r="AI25"/>
      <c r="AJ25"/>
    </row>
    <row r="26" spans="1:36" s="4" customFormat="1" x14ac:dyDescent="0.25">
      <c r="A26" s="2"/>
      <c r="B26" s="71" t="s">
        <v>86</v>
      </c>
      <c r="C26" s="36" t="s">
        <v>66</v>
      </c>
      <c r="D26" s="291">
        <v>100</v>
      </c>
      <c r="E26" s="36">
        <f>E12*3</f>
        <v>19775.999999999996</v>
      </c>
      <c r="F26" s="192">
        <v>0</v>
      </c>
      <c r="G26" s="195">
        <f t="shared" si="5"/>
        <v>0</v>
      </c>
      <c r="H26" s="37">
        <f>E26*F26</f>
        <v>0</v>
      </c>
      <c r="I26" s="38">
        <f t="shared" si="6"/>
        <v>0</v>
      </c>
      <c r="K26" s="5"/>
      <c r="L26" s="5"/>
      <c r="M26" s="5"/>
      <c r="N26" s="5"/>
      <c r="O26" s="5"/>
      <c r="P26" s="5"/>
      <c r="Q26" s="5"/>
      <c r="R26" s="5"/>
      <c r="S26" s="3"/>
      <c r="T26" s="5"/>
      <c r="U26" s="3"/>
      <c r="V26" s="5"/>
      <c r="W26" s="5"/>
      <c r="X26" s="5"/>
      <c r="Y26" s="5"/>
      <c r="Z26" s="5"/>
      <c r="AA26" s="5"/>
      <c r="AB26" s="5"/>
      <c r="AC26" s="5"/>
      <c r="AD26" s="5"/>
      <c r="AE26" s="6"/>
      <c r="AF26" s="1"/>
      <c r="AG26"/>
      <c r="AH26"/>
      <c r="AI26"/>
      <c r="AJ26"/>
    </row>
    <row r="27" spans="1:36" s="4" customFormat="1" x14ac:dyDescent="0.25">
      <c r="A27" s="2"/>
      <c r="B27" s="274" t="s">
        <v>112</v>
      </c>
      <c r="C27" s="65"/>
      <c r="D27" s="23"/>
      <c r="E27" s="301" t="s">
        <v>49</v>
      </c>
      <c r="F27" s="20" t="s">
        <v>113</v>
      </c>
      <c r="G27" s="281" t="s">
        <v>114</v>
      </c>
      <c r="H27" s="20" t="s">
        <v>59</v>
      </c>
      <c r="I27" s="281" t="s">
        <v>60</v>
      </c>
      <c r="K27" s="5"/>
      <c r="L27" s="5"/>
      <c r="M27" s="5"/>
      <c r="N27" s="5"/>
      <c r="O27" s="5"/>
      <c r="P27" s="5"/>
      <c r="Q27" s="5"/>
      <c r="R27" s="5"/>
      <c r="S27" s="3"/>
      <c r="T27" s="5"/>
      <c r="U27" s="3"/>
      <c r="V27" s="5"/>
      <c r="W27" s="5"/>
      <c r="X27" s="5"/>
      <c r="Y27" s="5"/>
      <c r="Z27" s="5"/>
      <c r="AA27" s="5"/>
      <c r="AB27" s="5"/>
      <c r="AC27" s="5"/>
      <c r="AD27" s="5"/>
      <c r="AE27" s="6"/>
      <c r="AF27" s="1"/>
      <c r="AG27"/>
      <c r="AH27"/>
      <c r="AI27"/>
      <c r="AJ27"/>
    </row>
    <row r="28" spans="1:36" s="4" customFormat="1" x14ac:dyDescent="0.25">
      <c r="A28" s="2"/>
      <c r="B28" s="71" t="s">
        <v>115</v>
      </c>
      <c r="C28" s="36"/>
      <c r="D28" s="74"/>
      <c r="E28" s="123">
        <v>0</v>
      </c>
      <c r="F28" s="37">
        <v>150000</v>
      </c>
      <c r="G28" s="37">
        <f>F28*1.0923</f>
        <v>163845</v>
      </c>
      <c r="H28" s="37">
        <f>E28*F28</f>
        <v>0</v>
      </c>
      <c r="I28" s="38">
        <f>H28*1.0923</f>
        <v>0</v>
      </c>
      <c r="K28" s="5"/>
      <c r="L28" s="5"/>
      <c r="M28" s="5"/>
      <c r="N28" s="5"/>
      <c r="O28" s="5"/>
      <c r="P28" s="5"/>
      <c r="Q28" s="5"/>
      <c r="R28" s="5"/>
      <c r="S28" s="3"/>
      <c r="T28" s="5"/>
      <c r="U28" s="3"/>
      <c r="V28" s="5"/>
      <c r="W28" s="5"/>
      <c r="X28" s="5"/>
      <c r="Y28" s="5"/>
      <c r="Z28" s="5"/>
      <c r="AA28" s="5"/>
      <c r="AB28" s="5"/>
      <c r="AC28" s="5"/>
      <c r="AD28" s="5"/>
      <c r="AE28" s="6"/>
      <c r="AF28" s="1"/>
      <c r="AG28"/>
      <c r="AH28"/>
      <c r="AI28"/>
      <c r="AJ28"/>
    </row>
    <row r="29" spans="1:36" s="4" customFormat="1" x14ac:dyDescent="0.25">
      <c r="A29" s="2"/>
      <c r="B29" s="136" t="s">
        <v>116</v>
      </c>
      <c r="C29" s="36"/>
      <c r="D29" s="74"/>
      <c r="E29" s="123">
        <v>0</v>
      </c>
      <c r="F29" s="37">
        <v>50000</v>
      </c>
      <c r="G29" s="37">
        <f>F29*1.0923</f>
        <v>54615</v>
      </c>
      <c r="H29" s="37">
        <f>E29*F29</f>
        <v>0</v>
      </c>
      <c r="I29" s="38">
        <f>H29*1.0923</f>
        <v>0</v>
      </c>
      <c r="K29" s="5"/>
      <c r="L29" s="5"/>
      <c r="M29" s="5"/>
      <c r="N29" s="5"/>
      <c r="O29" s="5"/>
      <c r="P29" s="5"/>
      <c r="Q29" s="5"/>
      <c r="R29" s="5"/>
      <c r="S29" s="3"/>
      <c r="T29" s="5"/>
      <c r="U29" s="3"/>
      <c r="V29" s="5"/>
      <c r="W29" s="5"/>
      <c r="X29" s="5"/>
      <c r="Y29" s="5"/>
      <c r="Z29" s="5"/>
      <c r="AA29" s="5"/>
      <c r="AB29" s="5"/>
      <c r="AC29" s="5"/>
      <c r="AD29" s="5"/>
      <c r="AE29" s="6"/>
      <c r="AF29" s="1"/>
      <c r="AG29"/>
      <c r="AH29"/>
      <c r="AI29"/>
      <c r="AJ29"/>
    </row>
    <row r="30" spans="1:36" x14ac:dyDescent="0.25">
      <c r="B30" s="274" t="s">
        <v>117</v>
      </c>
      <c r="C30" s="65"/>
      <c r="D30" s="23"/>
      <c r="E30" s="301" t="s">
        <v>49</v>
      </c>
      <c r="F30" s="20" t="s">
        <v>57</v>
      </c>
      <c r="G30" s="281" t="s">
        <v>58</v>
      </c>
      <c r="H30" s="20" t="s">
        <v>59</v>
      </c>
      <c r="I30" s="281" t="s">
        <v>60</v>
      </c>
      <c r="K30" s="269"/>
      <c r="L30" s="269"/>
      <c r="M30" s="269"/>
      <c r="N30" s="269"/>
      <c r="O30" s="269"/>
      <c r="P30" s="269"/>
      <c r="Q30" s="269"/>
      <c r="R30" s="269"/>
      <c r="S30" s="269"/>
    </row>
    <row r="31" spans="1:36" ht="30" customHeight="1" x14ac:dyDescent="0.25">
      <c r="B31" s="71" t="s">
        <v>118</v>
      </c>
      <c r="C31" s="64" t="s">
        <v>119</v>
      </c>
      <c r="D31" s="74"/>
      <c r="E31" s="125">
        <v>0</v>
      </c>
      <c r="F31" s="37">
        <v>20000</v>
      </c>
      <c r="G31" s="37">
        <f>F31*1.0923</f>
        <v>21846</v>
      </c>
      <c r="H31" s="37">
        <f>E31*F31</f>
        <v>0</v>
      </c>
      <c r="I31" s="38">
        <f>H31*1.0923</f>
        <v>0</v>
      </c>
    </row>
    <row r="32" spans="1:36" ht="15" customHeight="1" x14ac:dyDescent="0.25">
      <c r="B32" s="71" t="s">
        <v>120</v>
      </c>
      <c r="C32" s="36" t="s">
        <v>54</v>
      </c>
      <c r="D32" s="74"/>
      <c r="E32" s="125">
        <v>0</v>
      </c>
      <c r="F32" s="37">
        <v>7500</v>
      </c>
      <c r="G32" s="37">
        <f t="shared" ref="G32:G34" si="7">F32*1.0923</f>
        <v>8192.25</v>
      </c>
      <c r="H32" s="37">
        <f>E32*F32</f>
        <v>0</v>
      </c>
      <c r="I32" s="38">
        <f t="shared" ref="I32:I34" si="8">H32*1.0923</f>
        <v>0</v>
      </c>
    </row>
    <row r="33" spans="1:36" ht="15" customHeight="1" x14ac:dyDescent="0.25">
      <c r="B33" s="71" t="s">
        <v>121</v>
      </c>
      <c r="C33" s="36" t="s">
        <v>54</v>
      </c>
      <c r="D33" s="74"/>
      <c r="E33" s="123">
        <v>0</v>
      </c>
      <c r="F33" s="37">
        <v>10000</v>
      </c>
      <c r="G33" s="37">
        <f t="shared" si="7"/>
        <v>10923</v>
      </c>
      <c r="H33" s="37">
        <f>E33*F33</f>
        <v>0</v>
      </c>
      <c r="I33" s="38">
        <f t="shared" si="8"/>
        <v>0</v>
      </c>
    </row>
    <row r="34" spans="1:36" ht="15" customHeight="1" x14ac:dyDescent="0.25">
      <c r="B34" s="71" t="s">
        <v>122</v>
      </c>
      <c r="C34" s="36" t="s">
        <v>54</v>
      </c>
      <c r="D34" s="74"/>
      <c r="E34" s="123">
        <v>0</v>
      </c>
      <c r="F34" s="37">
        <v>7500</v>
      </c>
      <c r="G34" s="37">
        <f t="shared" si="7"/>
        <v>8192.25</v>
      </c>
      <c r="H34" s="37">
        <f>E34*F34</f>
        <v>0</v>
      </c>
      <c r="I34" s="38">
        <f t="shared" si="8"/>
        <v>0</v>
      </c>
    </row>
    <row r="35" spans="1:36" s="4" customFormat="1" ht="15" customHeight="1" x14ac:dyDescent="0.25">
      <c r="A35" s="2"/>
      <c r="B35" s="270" t="s">
        <v>87</v>
      </c>
      <c r="C35" s="47"/>
      <c r="D35" s="48"/>
      <c r="E35" s="49"/>
      <c r="F35" s="50"/>
      <c r="G35" s="50"/>
      <c r="H35" s="50">
        <f>SUM(H11:H34)</f>
        <v>613540</v>
      </c>
      <c r="I35" s="271">
        <f>H35*1.0923</f>
        <v>670169.74200000009</v>
      </c>
      <c r="K35" s="5"/>
      <c r="L35" s="5"/>
      <c r="M35" s="5"/>
      <c r="N35" s="5"/>
      <c r="O35" s="5"/>
      <c r="P35" s="5"/>
      <c r="Q35" s="5"/>
      <c r="R35" s="5"/>
      <c r="S35" s="3"/>
      <c r="T35" s="5"/>
      <c r="U35" s="3"/>
      <c r="V35" s="5"/>
      <c r="W35" s="5"/>
      <c r="X35" s="5"/>
      <c r="Y35" s="5"/>
      <c r="Z35" s="5"/>
      <c r="AA35" s="5"/>
      <c r="AB35" s="5"/>
      <c r="AC35" s="5"/>
      <c r="AD35" s="5"/>
      <c r="AE35" s="6"/>
      <c r="AF35" s="1"/>
      <c r="AG35"/>
      <c r="AH35"/>
      <c r="AI35"/>
      <c r="AJ35"/>
    </row>
    <row r="36" spans="1:36" s="4" customFormat="1" ht="15" customHeight="1" x14ac:dyDescent="0.25">
      <c r="A36" s="2"/>
      <c r="B36" s="41"/>
      <c r="C36" s="25"/>
      <c r="D36" s="26"/>
      <c r="E36" s="27"/>
      <c r="F36" s="28"/>
      <c r="G36" s="28"/>
      <c r="H36" s="28"/>
      <c r="I36" s="40"/>
      <c r="K36" s="5"/>
      <c r="L36" s="5"/>
      <c r="M36" s="5"/>
      <c r="N36" s="5"/>
      <c r="O36" s="5"/>
      <c r="P36" s="5"/>
      <c r="Q36" s="5"/>
      <c r="R36" s="5"/>
      <c r="S36" s="3"/>
      <c r="T36" s="5"/>
      <c r="U36" s="3"/>
      <c r="V36" s="5"/>
      <c r="W36" s="5"/>
      <c r="X36" s="5"/>
      <c r="Y36" s="5"/>
      <c r="Z36" s="5"/>
      <c r="AA36" s="5"/>
      <c r="AB36" s="5"/>
      <c r="AC36" s="5"/>
      <c r="AD36" s="5"/>
      <c r="AE36" s="6"/>
      <c r="AF36" s="1"/>
      <c r="AG36"/>
      <c r="AH36"/>
      <c r="AI36"/>
      <c r="AJ36"/>
    </row>
    <row r="37" spans="1:36" s="4" customFormat="1" ht="15" customHeight="1" x14ac:dyDescent="0.25">
      <c r="A37" s="2"/>
      <c r="B37" s="282" t="s">
        <v>88</v>
      </c>
      <c r="C37" s="283" t="s">
        <v>89</v>
      </c>
      <c r="D37" s="254"/>
      <c r="E37" s="254"/>
      <c r="F37" s="51">
        <v>0.1</v>
      </c>
      <c r="G37" s="51"/>
      <c r="H37" s="134">
        <f>H35*F37</f>
        <v>61354</v>
      </c>
      <c r="I37" s="286">
        <f>H37*1.0923</f>
        <v>67016.974199999997</v>
      </c>
      <c r="K37" s="5"/>
      <c r="L37" s="5"/>
      <c r="M37" s="5"/>
      <c r="N37" s="5"/>
      <c r="O37" s="5"/>
      <c r="P37" s="5"/>
      <c r="Q37" s="5"/>
      <c r="R37" s="5"/>
      <c r="S37" s="3"/>
      <c r="T37" s="5"/>
      <c r="U37" s="3"/>
      <c r="V37" s="5"/>
      <c r="W37" s="5"/>
      <c r="X37" s="5"/>
      <c r="Y37" s="5"/>
      <c r="Z37" s="5"/>
      <c r="AA37" s="5"/>
      <c r="AB37" s="5"/>
      <c r="AC37" s="5"/>
      <c r="AD37" s="5"/>
      <c r="AE37" s="6"/>
      <c r="AF37" s="1"/>
      <c r="AG37"/>
      <c r="AH37"/>
      <c r="AI37"/>
      <c r="AJ37"/>
    </row>
    <row r="38" spans="1:36" s="4" customFormat="1" ht="15" customHeight="1" x14ac:dyDescent="0.25">
      <c r="A38" s="2"/>
      <c r="B38" s="41" t="s">
        <v>90</v>
      </c>
      <c r="C38" s="25"/>
      <c r="D38" s="66"/>
      <c r="E38" s="67"/>
      <c r="F38" s="29"/>
      <c r="G38" s="29"/>
      <c r="H38" s="28">
        <f>SUM(H35:H37)</f>
        <v>674894</v>
      </c>
      <c r="I38" s="40"/>
      <c r="K38" s="5"/>
      <c r="L38" s="5"/>
      <c r="M38" s="5"/>
      <c r="N38" s="5"/>
      <c r="O38" s="5"/>
      <c r="P38" s="5"/>
      <c r="Q38" s="5"/>
      <c r="R38" s="5"/>
      <c r="S38" s="3"/>
      <c r="T38" s="5"/>
      <c r="U38" s="3"/>
      <c r="V38" s="5"/>
      <c r="W38" s="5"/>
      <c r="X38" s="5"/>
      <c r="Y38" s="5"/>
      <c r="Z38" s="5"/>
      <c r="AA38" s="5"/>
      <c r="AB38" s="5"/>
      <c r="AC38" s="5"/>
      <c r="AD38" s="5"/>
      <c r="AE38" s="6"/>
      <c r="AF38" s="1"/>
      <c r="AG38"/>
      <c r="AH38"/>
      <c r="AI38"/>
      <c r="AJ38"/>
    </row>
    <row r="39" spans="1:36" s="4" customFormat="1" ht="15" customHeight="1" x14ac:dyDescent="0.25">
      <c r="A39" s="2"/>
      <c r="B39" s="284" t="s">
        <v>91</v>
      </c>
      <c r="C39" s="285" t="s">
        <v>89</v>
      </c>
      <c r="D39" s="255"/>
      <c r="E39" s="255"/>
      <c r="F39" s="53">
        <v>0.1</v>
      </c>
      <c r="G39" s="53"/>
      <c r="H39" s="172">
        <f>H38*F39</f>
        <v>67489.400000000009</v>
      </c>
      <c r="I39" s="286">
        <f>H39*1.0923</f>
        <v>73718.671620000008</v>
      </c>
      <c r="K39" s="5"/>
      <c r="L39" s="5"/>
      <c r="M39" s="5"/>
      <c r="N39" s="5"/>
      <c r="O39" s="5"/>
      <c r="P39" s="5"/>
      <c r="Q39" s="5"/>
      <c r="R39" s="5"/>
      <c r="S39" s="3"/>
      <c r="T39" s="5"/>
      <c r="U39" s="3"/>
      <c r="V39" s="5"/>
      <c r="W39" s="5"/>
      <c r="X39" s="5"/>
      <c r="Y39" s="5"/>
      <c r="Z39" s="5"/>
      <c r="AA39" s="5"/>
      <c r="AB39" s="5"/>
      <c r="AC39" s="5"/>
      <c r="AD39" s="5"/>
      <c r="AE39" s="6"/>
      <c r="AF39" s="1"/>
      <c r="AG39"/>
      <c r="AH39"/>
      <c r="AI39"/>
      <c r="AJ39"/>
    </row>
    <row r="40" spans="1:36" s="4" customFormat="1" ht="15" customHeight="1" thickBot="1" x14ac:dyDescent="0.3">
      <c r="A40" s="2"/>
      <c r="B40" s="54" t="s">
        <v>87</v>
      </c>
      <c r="C40" s="55"/>
      <c r="D40" s="68"/>
      <c r="E40" s="69"/>
      <c r="F40" s="56"/>
      <c r="G40" s="56"/>
      <c r="H40" s="173">
        <f>SUM(H38:H39)</f>
        <v>742383.4</v>
      </c>
      <c r="I40" s="57">
        <f>H40*1.0923</f>
        <v>810905.38782000006</v>
      </c>
      <c r="K40" s="5"/>
      <c r="L40" s="5"/>
      <c r="M40" s="5"/>
      <c r="N40" s="5"/>
      <c r="O40" s="5"/>
      <c r="P40" s="5"/>
      <c r="Q40" s="5"/>
      <c r="R40" s="5"/>
      <c r="S40" s="3"/>
      <c r="T40" s="5"/>
      <c r="U40" s="3"/>
      <c r="V40" s="5"/>
      <c r="W40" s="5"/>
      <c r="X40" s="5"/>
      <c r="Y40" s="5"/>
      <c r="Z40" s="5"/>
      <c r="AA40" s="5"/>
      <c r="AB40" s="5"/>
      <c r="AC40" s="5"/>
      <c r="AD40" s="5"/>
      <c r="AE40" s="6"/>
      <c r="AF40" s="1"/>
      <c r="AG40"/>
      <c r="AH40"/>
      <c r="AI40"/>
      <c r="AJ40"/>
    </row>
    <row r="41" spans="1:36" s="4" customFormat="1" ht="15" customHeight="1" thickTop="1" x14ac:dyDescent="0.25">
      <c r="A41" s="2"/>
      <c r="B41" s="282" t="s">
        <v>92</v>
      </c>
      <c r="C41" s="287" t="s">
        <v>93</v>
      </c>
      <c r="D41" s="252"/>
      <c r="E41" s="252"/>
      <c r="F41" s="51">
        <v>0.25</v>
      </c>
      <c r="G41" s="51"/>
      <c r="H41" s="180">
        <f>H40*F41</f>
        <v>185595.85</v>
      </c>
      <c r="I41" s="297">
        <f>H41*1.0923</f>
        <v>202726.34695500002</v>
      </c>
      <c r="K41" s="5"/>
      <c r="L41" s="5"/>
      <c r="M41" s="5"/>
      <c r="N41" s="5"/>
      <c r="O41" s="5"/>
      <c r="P41" s="5"/>
      <c r="Q41" s="5"/>
      <c r="R41" s="5"/>
      <c r="S41" s="3"/>
      <c r="T41" s="5"/>
      <c r="U41" s="3"/>
      <c r="V41" s="5"/>
      <c r="W41" s="5"/>
      <c r="X41" s="5"/>
      <c r="Y41" s="5"/>
      <c r="Z41" s="5"/>
      <c r="AA41" s="5"/>
      <c r="AB41" s="5"/>
      <c r="AC41" s="5"/>
      <c r="AD41" s="5"/>
      <c r="AE41" s="6"/>
      <c r="AF41" s="1"/>
      <c r="AG41"/>
      <c r="AH41"/>
      <c r="AI41"/>
      <c r="AJ41"/>
    </row>
    <row r="42" spans="1:36" s="4" customFormat="1" ht="15" customHeight="1" thickBot="1" x14ac:dyDescent="0.3">
      <c r="A42" s="2"/>
      <c r="B42" s="288" t="s">
        <v>94</v>
      </c>
      <c r="C42" s="289" t="s">
        <v>103</v>
      </c>
      <c r="D42" s="253"/>
      <c r="E42" s="253"/>
      <c r="F42" s="52">
        <v>0.1</v>
      </c>
      <c r="G42" s="52"/>
      <c r="H42" s="174">
        <f>H41*F42</f>
        <v>18559.585000000003</v>
      </c>
      <c r="I42" s="296">
        <f>H42*1.0923</f>
        <v>20272.634695500004</v>
      </c>
      <c r="K42" s="5"/>
      <c r="L42" s="5"/>
      <c r="M42" s="5"/>
      <c r="N42" s="5"/>
      <c r="O42" s="5"/>
      <c r="P42" s="5"/>
      <c r="Q42" s="5"/>
      <c r="R42" s="5"/>
      <c r="S42" s="3"/>
      <c r="T42" s="5"/>
      <c r="U42" s="3"/>
      <c r="V42" s="5"/>
      <c r="W42" s="5"/>
      <c r="X42" s="5"/>
      <c r="Y42" s="5"/>
      <c r="Z42" s="5"/>
      <c r="AA42" s="5"/>
      <c r="AB42" s="5"/>
      <c r="AC42" s="5"/>
      <c r="AD42" s="5"/>
      <c r="AE42" s="6"/>
      <c r="AF42" s="1"/>
      <c r="AG42"/>
      <c r="AH42"/>
      <c r="AI42"/>
      <c r="AJ42"/>
    </row>
    <row r="43" spans="1:36" s="4" customFormat="1" ht="15" customHeight="1" thickTop="1" x14ac:dyDescent="0.25">
      <c r="A43" s="2"/>
      <c r="B43" s="39"/>
      <c r="C43" s="22"/>
      <c r="D43" s="17"/>
      <c r="F43" s="7"/>
      <c r="G43" s="7"/>
      <c r="H43" s="7"/>
      <c r="I43" s="183"/>
      <c r="K43" s="5"/>
      <c r="L43" s="5"/>
      <c r="M43" s="5"/>
      <c r="N43" s="5"/>
      <c r="O43" s="5"/>
      <c r="P43" s="5"/>
      <c r="Q43" s="5"/>
      <c r="R43" s="5"/>
      <c r="S43" s="3"/>
      <c r="T43" s="5"/>
      <c r="U43" s="3"/>
      <c r="V43" s="5"/>
      <c r="W43" s="5"/>
      <c r="X43" s="5"/>
      <c r="Y43" s="5"/>
      <c r="Z43" s="5"/>
      <c r="AA43" s="5"/>
      <c r="AB43" s="5"/>
      <c r="AC43" s="5"/>
      <c r="AD43" s="5"/>
      <c r="AE43" s="6"/>
      <c r="AF43" s="1"/>
      <c r="AG43"/>
      <c r="AH43"/>
      <c r="AI43"/>
      <c r="AJ43"/>
    </row>
    <row r="44" spans="1:36" s="4" customFormat="1" ht="15" customHeight="1" thickBot="1" x14ac:dyDescent="0.3">
      <c r="A44" s="2"/>
      <c r="B44" s="43" t="s">
        <v>96</v>
      </c>
      <c r="C44" s="44"/>
      <c r="D44" s="45"/>
      <c r="E44" s="13"/>
      <c r="F44" s="46"/>
      <c r="G44" s="46"/>
      <c r="H44" s="46">
        <f>SUM(H40,H41,H42)</f>
        <v>946538.83499999996</v>
      </c>
      <c r="I44" s="107">
        <f>H44*1.0923</f>
        <v>1033904.3694705</v>
      </c>
      <c r="K44" s="5"/>
      <c r="L44" s="5"/>
      <c r="M44" s="5"/>
      <c r="N44" s="5"/>
      <c r="O44" s="5"/>
      <c r="P44" s="5"/>
      <c r="Q44" s="5"/>
      <c r="R44" s="5"/>
      <c r="S44" s="3"/>
      <c r="T44" s="5"/>
      <c r="U44" s="3"/>
      <c r="V44" s="5"/>
      <c r="W44" s="5"/>
      <c r="X44" s="5"/>
      <c r="Y44" s="5"/>
      <c r="Z44" s="5"/>
      <c r="AA44" s="5"/>
      <c r="AB44" s="5"/>
      <c r="AC44" s="5"/>
      <c r="AD44" s="5"/>
      <c r="AE44" s="6"/>
      <c r="AF44" s="1"/>
      <c r="AG44"/>
      <c r="AH44"/>
      <c r="AI44"/>
      <c r="AJ44"/>
    </row>
    <row r="45" spans="1:36" x14ac:dyDescent="0.25">
      <c r="I45" s="176"/>
    </row>
  </sheetData>
  <mergeCells count="7">
    <mergeCell ref="B2:I2"/>
    <mergeCell ref="B3:I3"/>
    <mergeCell ref="K30:S30"/>
    <mergeCell ref="C42:E42"/>
    <mergeCell ref="C37:E37"/>
    <mergeCell ref="C39:E39"/>
    <mergeCell ref="C41:E41"/>
  </mergeCells>
  <dataValidations xWindow="358" yWindow="811" count="10">
    <dataValidation allowBlank="1" showInputMessage="1" showErrorMessage="1" promptTitle="Active Unit Cost Field" prompt="Select separation and traffic calming features by adding cost to the &quot;Active Unit Cost&quot; field. The quantity for separation is automatically calculated based on project length, number of intersections and intersection width.  _x000a_" sqref="F23:G26" xr:uid="{893A8843-E44B-407B-83E8-BDE2A547CE88}"/>
    <dataValidation allowBlank="1" showInputMessage="1" showErrorMessage="1" promptTitle="Passive Unit Cost Field" prompt="The &quot;Passive Unit Cost&quot; is a locked cell which states the current unit price for each feature.  In the &quot;Active Unit Cost&quot; cell, type &quot;=&quot; and select the same &quot;Passive Unit Cost&quot; of the same feature.  The subtotal will automatically update. _x000a_" sqref="D23" xr:uid="{936D2387-E306-472D-BF22-657E466A04A0}"/>
    <dataValidation allowBlank="1" showInputMessage="1" showErrorMessage="1" promptTitle="Full Intersection Improvement" prompt="Signal improvements vary in complexity of intersection.  A full intersection improvement involves installaton of new signal systems and relocation of existing features such as poles and cabinets. _x000a_" sqref="E28" xr:uid="{61A66DF4-C86F-484C-91E6-312D8757DED6}"/>
    <dataValidation allowBlank="1" showInputMessage="1" showErrorMessage="1" promptTitle="Partial Intersection Improvement" prompt="A partial intersection improvement involves installation of new bicycle signals on existing poles and no relocation of existing features. _x000a_" sqref="H29:I29" xr:uid="{53247E8B-7657-4067-B53B-214B1BA7BD25}"/>
    <dataValidation allowBlank="1" showInputMessage="1" showErrorMessage="1" prompt="Creating two-way protected bikeways often involves minor intersection reconstruction with curb extensions or transit stop adjustments.  Manually enter the quantity desired to add features to the project. _x000a_" sqref="E31" xr:uid="{0AB7AAB0-4DB2-4FB3-80A9-530A16D3FF27}"/>
    <dataValidation allowBlank="1" showInputMessage="1" showErrorMessage="1" promptTitle="Bike Lane Ahead" prompt="Enter additional quanities for this type of sign, if desired or required." sqref="E18" xr:uid="{1048B219-D1FE-4785-AE96-E82DF8AA7D8F}"/>
    <dataValidation allowBlank="1" showInputMessage="1" showErrorMessage="1" promptTitle="Bike Lane Ends" prompt="Enter additional quanities for this type of sign, if desired or required." sqref="E19" xr:uid="{69D28EAB-E70F-47D3-AF92-EA0205C43350}"/>
    <dataValidation allowBlank="1" showInputMessage="1" showErrorMessage="1" promptTitle="Bikes May Use Full Lane" prompt="Enter additional quanities for this type of sign, if desired or required." sqref="E21" xr:uid="{01C041AD-3CBC-43FB-9105-8EE969654250}"/>
    <dataValidation allowBlank="1" showInputMessage="1" showErrorMessage="1" promptTitle="Partial Intersection Improvement" prompt="A partial intersection improvement involves installation of new bicycle signals on existing poles and no relocation of existing features. " sqref="E29" xr:uid="{C9983224-FD20-435D-9D2A-A429D6686114}"/>
    <dataValidation allowBlank="1" showInputMessage="1" showErrorMessage="1" prompt="2025 cost values are estimated by applying a 9.23% inflation rate to 2022 costs." sqref="G10 I10 G16 I16 G22 I22 G27 G30 I27 I30" xr:uid="{61BA30DB-0A9D-48BC-A7F3-05EBFEAB382C}"/>
  </dataValidations>
  <pageMargins left="0.25" right="0.25" top="0.75" bottom="0.75" header="0.3" footer="0.3"/>
  <pageSetup paperSize="3" scale="78" fitToHeight="0" orientation="landscape" r:id="rId1"/>
  <ignoredErrors>
    <ignoredError sqref="H40 H11:H21 H23:H26 H28:H34" formula="1"/>
    <ignoredError sqref="G23:G26"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CC2C-D879-425F-B4C6-495A52C359F3}">
  <sheetPr>
    <pageSetUpPr fitToPage="1"/>
  </sheetPr>
  <dimension ref="A1:AJ44"/>
  <sheetViews>
    <sheetView topLeftCell="A16" zoomScaleNormal="100" workbookViewId="0">
      <selection activeCell="K21" sqref="K21"/>
    </sheetView>
  </sheetViews>
  <sheetFormatPr defaultRowHeight="15" x14ac:dyDescent="0.25"/>
  <cols>
    <col min="1" max="1" width="8.5703125" style="2" customWidth="1"/>
    <col min="2" max="2" width="26" style="1" customWidth="1"/>
    <col min="3" max="3" width="11.5703125" style="4" customWidth="1"/>
    <col min="4" max="4" width="8.5703125" style="4" customWidth="1"/>
    <col min="5" max="5" width="12.42578125" style="3" customWidth="1"/>
    <col min="6" max="6" width="24.5703125" style="3" hidden="1" customWidth="1"/>
    <col min="7" max="7" width="24.5703125" style="3" customWidth="1"/>
    <col min="8" max="8" width="11.140625" style="3" hidden="1" customWidth="1"/>
    <col min="9" max="9" width="11.140625" style="3" customWidth="1"/>
    <col min="10" max="10" width="13.85546875" style="4" customWidth="1"/>
    <col min="11" max="11" width="30.5703125" style="5" customWidth="1"/>
    <col min="12" max="12" width="25.8554687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62.1" customHeight="1" x14ac:dyDescent="0.25">
      <c r="A2" s="10"/>
      <c r="B2" s="256" t="s">
        <v>123</v>
      </c>
      <c r="C2" s="257"/>
      <c r="D2" s="257"/>
      <c r="E2" s="257"/>
      <c r="F2" s="257"/>
      <c r="G2" s="257"/>
      <c r="H2" s="257"/>
      <c r="I2" s="258"/>
      <c r="J2" s="10"/>
      <c r="K2" s="121" t="s">
        <v>111</v>
      </c>
      <c r="L2" s="100"/>
      <c r="M2" s="100"/>
      <c r="N2" s="100"/>
      <c r="O2" s="100"/>
      <c r="P2" s="100"/>
      <c r="Q2" s="100"/>
      <c r="R2" s="100"/>
      <c r="S2" s="100"/>
    </row>
    <row r="3" spans="1:36" s="5" customFormat="1" ht="30.75" customHeight="1" thickBot="1" x14ac:dyDescent="0.3">
      <c r="A3" s="206"/>
      <c r="B3" s="263" t="s">
        <v>99</v>
      </c>
      <c r="C3" s="263"/>
      <c r="D3" s="263"/>
      <c r="E3" s="263"/>
      <c r="F3" s="263"/>
      <c r="G3" s="263"/>
      <c r="H3" s="263"/>
      <c r="I3" s="264"/>
      <c r="J3" s="10"/>
      <c r="K3" s="100"/>
      <c r="L3" s="100"/>
      <c r="M3" s="100"/>
      <c r="N3" s="100"/>
      <c r="O3" s="100"/>
      <c r="P3" s="100"/>
      <c r="Q3" s="100"/>
      <c r="R3" s="100"/>
      <c r="S3" s="100"/>
      <c r="U3" s="3"/>
      <c r="AE3" s="6"/>
      <c r="AF3" s="1"/>
      <c r="AG3"/>
      <c r="AH3"/>
      <c r="AI3"/>
      <c r="AJ3"/>
    </row>
    <row r="4" spans="1:36" s="5" customFormat="1" ht="45" x14ac:dyDescent="0.25">
      <c r="A4" s="10"/>
      <c r="B4" s="272" t="s">
        <v>48</v>
      </c>
      <c r="C4" s="60"/>
      <c r="D4" s="60"/>
      <c r="E4" s="293" t="s">
        <v>49</v>
      </c>
      <c r="F4" s="30" t="s">
        <v>124</v>
      </c>
      <c r="G4" s="303" t="s">
        <v>125</v>
      </c>
      <c r="H4" s="138" t="s">
        <v>126</v>
      </c>
      <c r="I4" s="304" t="s">
        <v>127</v>
      </c>
      <c r="J4" s="188"/>
      <c r="K4" s="10"/>
      <c r="S4" s="3"/>
      <c r="U4" s="3"/>
      <c r="AE4" s="6"/>
      <c r="AF4" s="1"/>
      <c r="AG4"/>
      <c r="AH4"/>
      <c r="AI4"/>
      <c r="AJ4"/>
    </row>
    <row r="5" spans="1:36" s="5" customFormat="1" ht="15.75" x14ac:dyDescent="0.25">
      <c r="A5" s="10"/>
      <c r="B5" s="31" t="s">
        <v>50</v>
      </c>
      <c r="C5" s="21" t="s">
        <v>51</v>
      </c>
      <c r="E5" s="24">
        <f>E6*5280</f>
        <v>8976</v>
      </c>
      <c r="F5" s="21"/>
      <c r="G5" s="21">
        <f>F5*1.0923</f>
        <v>0</v>
      </c>
      <c r="H5" s="19"/>
      <c r="I5" s="32">
        <f>H5*1.0923</f>
        <v>0</v>
      </c>
      <c r="J5" s="10"/>
      <c r="K5" s="10"/>
      <c r="S5" s="3"/>
      <c r="U5" s="3"/>
      <c r="AE5" s="6"/>
      <c r="AF5" s="1"/>
      <c r="AG5"/>
      <c r="AH5"/>
      <c r="AI5"/>
      <c r="AJ5"/>
    </row>
    <row r="6" spans="1:36" s="5" customFormat="1" ht="15.75" x14ac:dyDescent="0.25">
      <c r="A6" s="10"/>
      <c r="B6" s="31" t="s">
        <v>50</v>
      </c>
      <c r="C6" s="21" t="s">
        <v>52</v>
      </c>
      <c r="E6" s="117">
        <v>1.7</v>
      </c>
      <c r="F6" s="21"/>
      <c r="G6" s="21">
        <f>F6*1.0923</f>
        <v>0</v>
      </c>
      <c r="H6" s="19"/>
      <c r="I6" s="32">
        <f t="shared" ref="I6:I7" si="0">H6*1.0923</f>
        <v>0</v>
      </c>
      <c r="J6" s="10"/>
      <c r="K6" s="10"/>
      <c r="S6" s="3"/>
      <c r="U6" s="3"/>
      <c r="AE6" s="6"/>
      <c r="AF6" s="1"/>
      <c r="AG6"/>
      <c r="AH6"/>
      <c r="AI6"/>
      <c r="AJ6"/>
    </row>
    <row r="7" spans="1:36" s="5" customFormat="1" ht="15.75" x14ac:dyDescent="0.25">
      <c r="A7" s="10"/>
      <c r="B7" s="33" t="s">
        <v>53</v>
      </c>
      <c r="C7" s="2" t="s">
        <v>54</v>
      </c>
      <c r="E7" s="118">
        <v>21</v>
      </c>
      <c r="F7" s="7"/>
      <c r="G7" s="21">
        <f>F7*1.0923</f>
        <v>0</v>
      </c>
      <c r="H7" s="19"/>
      <c r="I7" s="32">
        <f t="shared" si="0"/>
        <v>0</v>
      </c>
      <c r="J7" s="10"/>
      <c r="K7" s="10"/>
      <c r="S7" s="3"/>
      <c r="U7" s="3"/>
      <c r="AE7" s="6"/>
      <c r="AF7" s="1"/>
      <c r="AG7"/>
      <c r="AH7"/>
      <c r="AI7"/>
      <c r="AJ7"/>
    </row>
    <row r="8" spans="1:36" s="5" customFormat="1" ht="15.75" x14ac:dyDescent="0.25">
      <c r="A8" s="10"/>
      <c r="B8" s="34" t="s">
        <v>55</v>
      </c>
      <c r="C8" s="64" t="s">
        <v>51</v>
      </c>
      <c r="E8" s="118">
        <v>40</v>
      </c>
      <c r="F8" s="7"/>
      <c r="G8" s="7">
        <f>F8*1.0923</f>
        <v>0</v>
      </c>
      <c r="H8" s="19"/>
      <c r="I8" s="32">
        <f>H8*1.0923</f>
        <v>0</v>
      </c>
      <c r="J8" s="10"/>
      <c r="K8" s="10"/>
      <c r="S8" s="3"/>
      <c r="U8" s="3"/>
      <c r="AE8" s="6"/>
      <c r="AF8" s="1"/>
      <c r="AG8"/>
      <c r="AH8"/>
      <c r="AI8"/>
      <c r="AJ8"/>
    </row>
    <row r="9" spans="1:36" s="5" customFormat="1" ht="15.75" x14ac:dyDescent="0.25">
      <c r="A9" s="10"/>
      <c r="B9" s="34" t="s">
        <v>128</v>
      </c>
      <c r="C9" s="64" t="s">
        <v>51</v>
      </c>
      <c r="E9" s="118">
        <v>100</v>
      </c>
      <c r="F9" s="37"/>
      <c r="G9" s="37"/>
      <c r="H9" s="19"/>
      <c r="I9" s="32">
        <f>H9*1.023</f>
        <v>0</v>
      </c>
      <c r="J9" s="10"/>
      <c r="K9" s="10"/>
      <c r="S9" s="3"/>
      <c r="U9" s="3"/>
      <c r="AE9" s="6"/>
      <c r="AF9" s="1"/>
      <c r="AG9"/>
      <c r="AH9"/>
      <c r="AI9"/>
      <c r="AJ9"/>
    </row>
    <row r="10" spans="1:36" s="5" customFormat="1" ht="15.75" x14ac:dyDescent="0.25">
      <c r="A10" s="10"/>
      <c r="B10" s="34" t="s">
        <v>129</v>
      </c>
      <c r="C10" s="64" t="s">
        <v>54</v>
      </c>
      <c r="E10" s="118">
        <v>2</v>
      </c>
      <c r="F10" s="37"/>
      <c r="G10" s="37"/>
      <c r="H10" s="19"/>
      <c r="I10" s="32"/>
      <c r="J10" s="10"/>
      <c r="K10" s="10"/>
      <c r="S10" s="3"/>
      <c r="U10" s="3"/>
      <c r="AE10" s="6"/>
      <c r="AF10" s="1"/>
      <c r="AG10"/>
      <c r="AH10"/>
      <c r="AI10"/>
      <c r="AJ10"/>
    </row>
    <row r="11" spans="1:36" s="5" customFormat="1" x14ac:dyDescent="0.25">
      <c r="A11" s="10"/>
      <c r="B11" s="274" t="s">
        <v>56</v>
      </c>
      <c r="C11" s="75"/>
      <c r="D11" s="70"/>
      <c r="E11" s="275" t="s">
        <v>49</v>
      </c>
      <c r="F11" s="20" t="s">
        <v>57</v>
      </c>
      <c r="G11" s="281" t="s">
        <v>58</v>
      </c>
      <c r="H11" s="20" t="s">
        <v>59</v>
      </c>
      <c r="I11" s="281" t="s">
        <v>60</v>
      </c>
      <c r="J11" s="10"/>
      <c r="K11" s="10"/>
      <c r="S11" s="3"/>
      <c r="U11" s="3"/>
      <c r="AE11" s="6"/>
      <c r="AF11" s="1"/>
      <c r="AG11"/>
      <c r="AH11"/>
      <c r="AI11"/>
      <c r="AJ11"/>
    </row>
    <row r="12" spans="1:36" s="5" customFormat="1" ht="15.75" x14ac:dyDescent="0.25">
      <c r="A12" s="10"/>
      <c r="B12" s="34" t="s">
        <v>100</v>
      </c>
      <c r="C12" s="64" t="s">
        <v>54</v>
      </c>
      <c r="E12" s="24">
        <f>E5*2/300+E7</f>
        <v>80.84</v>
      </c>
      <c r="F12" s="37">
        <v>500</v>
      </c>
      <c r="G12" s="37">
        <f>F12*1.0923</f>
        <v>546.15</v>
      </c>
      <c r="H12" s="19">
        <f>SUM(H9:H11)</f>
        <v>0</v>
      </c>
      <c r="I12" s="32">
        <f>H12*1.0923</f>
        <v>0</v>
      </c>
      <c r="J12" s="10"/>
      <c r="K12" s="10"/>
      <c r="S12" s="3"/>
      <c r="U12" s="3"/>
      <c r="AE12" s="6"/>
      <c r="AF12" s="1"/>
      <c r="AG12"/>
      <c r="AH12"/>
      <c r="AI12"/>
      <c r="AJ12"/>
    </row>
    <row r="13" spans="1:36" s="5" customFormat="1" ht="30" x14ac:dyDescent="0.25">
      <c r="A13" s="10"/>
      <c r="B13" s="61" t="s">
        <v>62</v>
      </c>
      <c r="C13" s="64" t="s">
        <v>51</v>
      </c>
      <c r="E13" s="24">
        <f>E9*2</f>
        <v>200</v>
      </c>
      <c r="F13" s="37">
        <v>20</v>
      </c>
      <c r="G13" s="37">
        <f t="shared" ref="G13" si="1">F13*1.0923</f>
        <v>21.846</v>
      </c>
      <c r="H13" s="19">
        <f>E13*F13</f>
        <v>4000</v>
      </c>
      <c r="I13" s="32">
        <f t="shared" ref="I13" si="2">H13*1.0923</f>
        <v>4369.2</v>
      </c>
      <c r="J13" s="10"/>
      <c r="K13" s="10"/>
      <c r="S13" s="3"/>
      <c r="U13" s="3"/>
      <c r="AE13" s="6"/>
      <c r="AF13" s="1"/>
      <c r="AG13"/>
      <c r="AH13"/>
      <c r="AI13"/>
      <c r="AJ13"/>
    </row>
    <row r="14" spans="1:36" s="5" customFormat="1" ht="30" x14ac:dyDescent="0.25">
      <c r="A14" s="10"/>
      <c r="B14" s="61" t="s">
        <v>64</v>
      </c>
      <c r="C14" s="64" t="s">
        <v>51</v>
      </c>
      <c r="D14" s="24"/>
      <c r="E14" s="36">
        <f>E9*2</f>
        <v>200</v>
      </c>
      <c r="F14" s="37">
        <v>20</v>
      </c>
      <c r="G14" s="37">
        <f>F14*1.0923</f>
        <v>21.846</v>
      </c>
      <c r="H14" s="19">
        <f>E14*F14</f>
        <v>4000</v>
      </c>
      <c r="I14" s="32">
        <f>H14*1.0923</f>
        <v>4369.2</v>
      </c>
      <c r="J14" s="10"/>
      <c r="K14" s="10"/>
      <c r="S14" s="3"/>
      <c r="U14" s="3"/>
      <c r="AE14" s="6"/>
      <c r="AF14" s="1"/>
      <c r="AG14"/>
      <c r="AH14"/>
      <c r="AI14"/>
      <c r="AJ14"/>
    </row>
    <row r="15" spans="1:36" s="5" customFormat="1" ht="15.75" x14ac:dyDescent="0.25">
      <c r="A15" s="10"/>
      <c r="B15" s="61" t="s">
        <v>65</v>
      </c>
      <c r="C15" s="64" t="s">
        <v>66</v>
      </c>
      <c r="D15" s="24"/>
      <c r="E15" s="36">
        <f>((E8+20)*E10)*6</f>
        <v>720</v>
      </c>
      <c r="F15" s="37">
        <v>20</v>
      </c>
      <c r="G15" s="37">
        <f t="shared" ref="G15" si="3">F15*1.0923</f>
        <v>21.846</v>
      </c>
      <c r="H15" s="19">
        <f>E15*F15</f>
        <v>14400</v>
      </c>
      <c r="I15" s="32">
        <f t="shared" ref="I15" si="4">H15*1.0923</f>
        <v>15729.12</v>
      </c>
      <c r="J15" s="10"/>
      <c r="K15" s="10"/>
      <c r="S15" s="3"/>
      <c r="U15" s="3"/>
      <c r="AE15" s="6"/>
      <c r="AF15" s="1"/>
      <c r="AG15"/>
      <c r="AH15"/>
      <c r="AI15"/>
      <c r="AJ15"/>
    </row>
    <row r="16" spans="1:36" ht="30" x14ac:dyDescent="0.25">
      <c r="B16" s="274" t="s">
        <v>67</v>
      </c>
      <c r="C16" s="278" t="s">
        <v>68</v>
      </c>
      <c r="D16" s="279" t="s">
        <v>69</v>
      </c>
      <c r="E16" s="280" t="s">
        <v>49</v>
      </c>
      <c r="F16" s="20" t="s">
        <v>57</v>
      </c>
      <c r="G16" s="281" t="s">
        <v>58</v>
      </c>
      <c r="H16" s="20" t="s">
        <v>59</v>
      </c>
      <c r="I16" s="281" t="s">
        <v>60</v>
      </c>
      <c r="J16" s="208"/>
      <c r="K16" s="269"/>
      <c r="L16" s="269"/>
      <c r="M16" s="269"/>
      <c r="N16" s="269"/>
      <c r="O16" s="269"/>
      <c r="P16" s="269"/>
      <c r="Q16" s="269"/>
      <c r="R16" s="269"/>
      <c r="S16" s="269"/>
    </row>
    <row r="17" spans="1:36" ht="15.75" x14ac:dyDescent="0.25">
      <c r="B17" s="71" t="s">
        <v>70</v>
      </c>
      <c r="C17" s="36" t="s">
        <v>71</v>
      </c>
      <c r="D17" s="24">
        <v>3</v>
      </c>
      <c r="E17" s="62">
        <f>E9/300+E10+2</f>
        <v>4.3333333333333339</v>
      </c>
      <c r="F17" s="37">
        <v>50</v>
      </c>
      <c r="G17" s="37">
        <f>F17*1.0923</f>
        <v>54.615000000000002</v>
      </c>
      <c r="H17" s="37">
        <f>D17*E17*F17</f>
        <v>650.00000000000011</v>
      </c>
      <c r="I17" s="207">
        <f>H17*1.0923</f>
        <v>709.99500000000012</v>
      </c>
      <c r="K17" s="76"/>
    </row>
    <row r="18" spans="1:36" x14ac:dyDescent="0.25">
      <c r="B18" s="71" t="s">
        <v>72</v>
      </c>
      <c r="C18" s="36" t="s">
        <v>73</v>
      </c>
      <c r="D18" s="62">
        <v>1.3</v>
      </c>
      <c r="E18" s="120">
        <v>0</v>
      </c>
      <c r="F18" s="37">
        <v>50</v>
      </c>
      <c r="G18" s="203">
        <f>F18*1.0923</f>
        <v>54.615000000000002</v>
      </c>
      <c r="H18" s="37">
        <f>D18*E18*F18</f>
        <v>0</v>
      </c>
      <c r="I18" s="38">
        <f>H18*1.0923</f>
        <v>0</v>
      </c>
      <c r="K18" s="76"/>
    </row>
    <row r="19" spans="1:36" x14ac:dyDescent="0.25">
      <c r="B19" s="71" t="s">
        <v>74</v>
      </c>
      <c r="C19" s="36" t="s">
        <v>73</v>
      </c>
      <c r="D19" s="62">
        <v>1.3</v>
      </c>
      <c r="E19" s="120">
        <v>0</v>
      </c>
      <c r="F19" s="37">
        <v>50</v>
      </c>
      <c r="G19" s="203">
        <f>F19*1.0923</f>
        <v>54.615000000000002</v>
      </c>
      <c r="H19" s="37">
        <f t="shared" ref="H19:H21" si="5">D19*E19*F19</f>
        <v>0</v>
      </c>
      <c r="I19" s="38">
        <f t="shared" ref="I19:I21" si="6">H19*1.0923</f>
        <v>0</v>
      </c>
      <c r="K19" s="76"/>
    </row>
    <row r="20" spans="1:36" ht="30" x14ac:dyDescent="0.25">
      <c r="B20" s="71" t="s">
        <v>75</v>
      </c>
      <c r="C20" s="36" t="s">
        <v>76</v>
      </c>
      <c r="D20" s="62">
        <v>7.5</v>
      </c>
      <c r="E20" s="120">
        <v>0</v>
      </c>
      <c r="F20" s="37">
        <v>50</v>
      </c>
      <c r="G20" s="203">
        <f>F20*1.0923</f>
        <v>54.615000000000002</v>
      </c>
      <c r="H20" s="37">
        <f t="shared" si="5"/>
        <v>0</v>
      </c>
      <c r="I20" s="38">
        <f t="shared" si="6"/>
        <v>0</v>
      </c>
      <c r="K20" s="76"/>
    </row>
    <row r="21" spans="1:36" ht="30" x14ac:dyDescent="0.25">
      <c r="B21" s="71" t="s">
        <v>77</v>
      </c>
      <c r="C21" s="36" t="s">
        <v>78</v>
      </c>
      <c r="D21" s="62">
        <v>6.25</v>
      </c>
      <c r="E21" s="62">
        <f>E7</f>
        <v>21</v>
      </c>
      <c r="F21" s="37">
        <v>50</v>
      </c>
      <c r="G21" s="37">
        <f t="shared" ref="G21" si="7">F21*1.0923</f>
        <v>54.615000000000002</v>
      </c>
      <c r="H21" s="37">
        <f t="shared" si="5"/>
        <v>6562.5</v>
      </c>
      <c r="I21" s="38">
        <f t="shared" si="6"/>
        <v>7168.21875</v>
      </c>
      <c r="K21" s="76"/>
    </row>
    <row r="22" spans="1:36" x14ac:dyDescent="0.25">
      <c r="B22" s="306" t="s">
        <v>130</v>
      </c>
      <c r="C22" s="65"/>
      <c r="D22" s="23"/>
      <c r="E22" s="280" t="s">
        <v>49</v>
      </c>
      <c r="F22" s="134" t="s">
        <v>57</v>
      </c>
      <c r="G22" s="276" t="s">
        <v>58</v>
      </c>
      <c r="H22" s="204" t="s">
        <v>59</v>
      </c>
      <c r="I22" s="305" t="s">
        <v>60</v>
      </c>
      <c r="K22" s="269"/>
      <c r="L22" s="269"/>
      <c r="M22" s="269"/>
      <c r="N22" s="269"/>
      <c r="O22" s="269"/>
      <c r="P22" s="269"/>
      <c r="Q22" s="269"/>
      <c r="R22" s="269"/>
      <c r="S22" s="269"/>
    </row>
    <row r="23" spans="1:36" ht="30.75" customHeight="1" x14ac:dyDescent="0.25">
      <c r="B23" s="71" t="s">
        <v>131</v>
      </c>
      <c r="C23" s="36" t="s">
        <v>54</v>
      </c>
      <c r="D23" s="74"/>
      <c r="E23" s="36">
        <f>E9/10+4</f>
        <v>14</v>
      </c>
      <c r="F23" s="116">
        <v>50</v>
      </c>
      <c r="G23" s="116">
        <f>F23*1.0923</f>
        <v>54.615000000000002</v>
      </c>
      <c r="H23" s="37">
        <f>(E23*14)*F23</f>
        <v>9800</v>
      </c>
      <c r="I23" s="38">
        <f>H23*1.0923</f>
        <v>10704.54</v>
      </c>
    </row>
    <row r="24" spans="1:36" ht="30.75" customHeight="1" x14ac:dyDescent="0.25">
      <c r="B24" s="71" t="s">
        <v>132</v>
      </c>
      <c r="C24" s="36" t="s">
        <v>54</v>
      </c>
      <c r="D24" s="74"/>
      <c r="E24" s="123">
        <v>0</v>
      </c>
      <c r="F24" s="37">
        <v>50</v>
      </c>
      <c r="G24" s="116">
        <f t="shared" ref="G24:G31" si="8">F24*1.0923</f>
        <v>54.615000000000002</v>
      </c>
      <c r="H24" s="37">
        <f>(E24*14)*F24</f>
        <v>0</v>
      </c>
      <c r="I24" s="38">
        <f t="shared" ref="I24:I30" si="9">H24*1.0923</f>
        <v>0</v>
      </c>
    </row>
    <row r="25" spans="1:36" ht="28.35" customHeight="1" x14ac:dyDescent="0.25">
      <c r="B25" s="71" t="s">
        <v>133</v>
      </c>
      <c r="C25" s="36" t="s">
        <v>54</v>
      </c>
      <c r="D25" s="74"/>
      <c r="E25" s="125">
        <v>0</v>
      </c>
      <c r="F25" s="37">
        <v>5000</v>
      </c>
      <c r="G25" s="116">
        <f t="shared" si="8"/>
        <v>5461.5</v>
      </c>
      <c r="H25" s="37">
        <f>(E25*14)*F25</f>
        <v>0</v>
      </c>
      <c r="I25" s="38">
        <f t="shared" si="9"/>
        <v>0</v>
      </c>
    </row>
    <row r="26" spans="1:36" ht="42.6" customHeight="1" x14ac:dyDescent="0.25">
      <c r="B26" s="71" t="s">
        <v>118</v>
      </c>
      <c r="C26" s="64" t="s">
        <v>119</v>
      </c>
      <c r="D26" s="74"/>
      <c r="E26" s="125">
        <v>0</v>
      </c>
      <c r="F26" s="37">
        <v>20000</v>
      </c>
      <c r="G26" s="116">
        <f t="shared" si="8"/>
        <v>21846</v>
      </c>
      <c r="H26" s="37">
        <f t="shared" ref="H26:H31" si="10">(E26*14)*F26</f>
        <v>0</v>
      </c>
      <c r="I26" s="38">
        <f t="shared" si="9"/>
        <v>0</v>
      </c>
    </row>
    <row r="27" spans="1:36" ht="15" customHeight="1" x14ac:dyDescent="0.25">
      <c r="B27" s="71" t="s">
        <v>120</v>
      </c>
      <c r="C27" s="36" t="s">
        <v>54</v>
      </c>
      <c r="D27" s="74"/>
      <c r="E27" s="125">
        <v>0</v>
      </c>
      <c r="F27" s="37">
        <v>7500</v>
      </c>
      <c r="G27" s="116">
        <f t="shared" si="8"/>
        <v>8192.25</v>
      </c>
      <c r="H27" s="37">
        <f t="shared" si="10"/>
        <v>0</v>
      </c>
      <c r="I27" s="38">
        <f t="shared" si="9"/>
        <v>0</v>
      </c>
    </row>
    <row r="28" spans="1:36" ht="15" customHeight="1" x14ac:dyDescent="0.25">
      <c r="B28" s="71" t="s">
        <v>121</v>
      </c>
      <c r="C28" s="36" t="s">
        <v>54</v>
      </c>
      <c r="D28" s="74"/>
      <c r="E28" s="123">
        <v>0</v>
      </c>
      <c r="F28" s="37">
        <v>10000</v>
      </c>
      <c r="G28" s="116">
        <f t="shared" si="8"/>
        <v>10923</v>
      </c>
      <c r="H28" s="37">
        <f t="shared" si="10"/>
        <v>0</v>
      </c>
      <c r="I28" s="38">
        <f t="shared" si="9"/>
        <v>0</v>
      </c>
    </row>
    <row r="29" spans="1:36" ht="15" customHeight="1" x14ac:dyDescent="0.25">
      <c r="B29" s="71" t="s">
        <v>134</v>
      </c>
      <c r="C29" s="36" t="s">
        <v>54</v>
      </c>
      <c r="D29" s="74"/>
      <c r="E29" s="119">
        <v>0</v>
      </c>
      <c r="F29" s="37">
        <v>50000</v>
      </c>
      <c r="G29" s="116">
        <f t="shared" si="8"/>
        <v>54615</v>
      </c>
      <c r="H29" s="37">
        <f t="shared" si="10"/>
        <v>0</v>
      </c>
      <c r="I29" s="38">
        <f t="shared" si="9"/>
        <v>0</v>
      </c>
    </row>
    <row r="30" spans="1:36" ht="33.6" customHeight="1" x14ac:dyDescent="0.25">
      <c r="B30" s="71" t="s">
        <v>135</v>
      </c>
      <c r="C30" s="64" t="s">
        <v>119</v>
      </c>
      <c r="D30" s="74"/>
      <c r="E30" s="123">
        <v>0</v>
      </c>
      <c r="F30" s="37">
        <v>50000</v>
      </c>
      <c r="G30" s="116">
        <f>F30*1.0923</f>
        <v>54615</v>
      </c>
      <c r="H30" s="37">
        <f>(E30*14)*F30</f>
        <v>0</v>
      </c>
      <c r="I30" s="38">
        <f t="shared" si="9"/>
        <v>0</v>
      </c>
    </row>
    <row r="31" spans="1:36" ht="15" customHeight="1" x14ac:dyDescent="0.25">
      <c r="B31" s="71" t="s">
        <v>122</v>
      </c>
      <c r="C31" s="36" t="s">
        <v>54</v>
      </c>
      <c r="D31" s="74"/>
      <c r="E31" s="119">
        <v>0</v>
      </c>
      <c r="F31" s="37">
        <v>7500</v>
      </c>
      <c r="G31" s="116">
        <f t="shared" si="8"/>
        <v>8192.25</v>
      </c>
      <c r="H31" s="37">
        <f t="shared" si="10"/>
        <v>0</v>
      </c>
      <c r="I31" s="38">
        <f>H31*1.0923</f>
        <v>0</v>
      </c>
    </row>
    <row r="32" spans="1:36" s="4" customFormat="1" ht="15" customHeight="1" x14ac:dyDescent="0.25">
      <c r="A32" s="2"/>
      <c r="B32" s="270" t="s">
        <v>87</v>
      </c>
      <c r="C32" s="47"/>
      <c r="D32" s="48"/>
      <c r="E32" s="49"/>
      <c r="F32" s="50"/>
      <c r="G32" s="302">
        <f>F32*1.0923</f>
        <v>0</v>
      </c>
      <c r="H32" s="50">
        <f>SUM(H12:H31)</f>
        <v>39412.5</v>
      </c>
      <c r="I32" s="271">
        <f>H32*1.0923</f>
        <v>43050.27375</v>
      </c>
      <c r="K32" s="76"/>
      <c r="L32" s="5"/>
      <c r="M32" s="5"/>
      <c r="N32" s="5"/>
      <c r="O32" s="5"/>
      <c r="P32" s="5"/>
      <c r="Q32" s="5"/>
      <c r="R32" s="5"/>
      <c r="S32" s="3"/>
      <c r="T32" s="5"/>
      <c r="U32" s="3"/>
      <c r="V32" s="5"/>
      <c r="W32" s="5"/>
      <c r="X32" s="5"/>
      <c r="Y32" s="5"/>
      <c r="Z32" s="5"/>
      <c r="AA32" s="5"/>
      <c r="AB32" s="5"/>
      <c r="AC32" s="5"/>
      <c r="AD32" s="5"/>
      <c r="AE32" s="6"/>
      <c r="AF32" s="1"/>
      <c r="AG32"/>
      <c r="AH32"/>
      <c r="AI32"/>
      <c r="AJ32"/>
    </row>
    <row r="33" spans="1:36" s="4" customFormat="1" ht="15" customHeight="1" x14ac:dyDescent="0.25">
      <c r="A33" s="2"/>
      <c r="B33" s="41"/>
      <c r="C33" s="25"/>
      <c r="D33" s="26"/>
      <c r="E33" s="27"/>
      <c r="F33" s="28"/>
      <c r="G33" s="28"/>
      <c r="H33" s="28"/>
      <c r="I33" s="40"/>
      <c r="K33" s="76"/>
      <c r="L33" s="5"/>
      <c r="M33" s="5"/>
      <c r="N33" s="5"/>
      <c r="O33" s="5"/>
      <c r="P33" s="5"/>
      <c r="Q33" s="5"/>
      <c r="R33" s="5"/>
      <c r="S33" s="3"/>
      <c r="T33" s="5"/>
      <c r="U33" s="3"/>
      <c r="V33" s="5"/>
      <c r="W33" s="5"/>
      <c r="X33" s="5"/>
      <c r="Y33" s="5"/>
      <c r="Z33" s="5"/>
      <c r="AA33" s="5"/>
      <c r="AB33" s="5"/>
      <c r="AC33" s="5"/>
      <c r="AD33" s="5"/>
      <c r="AE33" s="6"/>
      <c r="AF33" s="1"/>
      <c r="AG33"/>
      <c r="AH33"/>
      <c r="AI33"/>
      <c r="AJ33"/>
    </row>
    <row r="34" spans="1:36" s="4" customFormat="1" ht="15" customHeight="1" x14ac:dyDescent="0.25">
      <c r="A34" s="2"/>
      <c r="B34" s="282" t="s">
        <v>88</v>
      </c>
      <c r="C34" s="283" t="s">
        <v>89</v>
      </c>
      <c r="D34" s="254"/>
      <c r="E34" s="254"/>
      <c r="F34" s="51" t="s">
        <v>136</v>
      </c>
      <c r="G34" s="51"/>
      <c r="H34" s="204" t="s">
        <v>59</v>
      </c>
      <c r="I34" s="305" t="s">
        <v>60</v>
      </c>
      <c r="K34" s="76"/>
      <c r="L34" s="5"/>
      <c r="M34" s="5"/>
      <c r="N34" s="5"/>
      <c r="O34" s="5"/>
      <c r="P34" s="5"/>
      <c r="Q34" s="5"/>
      <c r="R34" s="5"/>
      <c r="S34" s="3"/>
      <c r="T34" s="5"/>
      <c r="U34" s="3"/>
      <c r="V34" s="5"/>
      <c r="W34" s="5"/>
      <c r="X34" s="5"/>
      <c r="Y34" s="5"/>
      <c r="Z34" s="5"/>
      <c r="AA34" s="5"/>
      <c r="AB34" s="5"/>
      <c r="AC34" s="5"/>
      <c r="AD34" s="5"/>
      <c r="AE34" s="6"/>
      <c r="AF34" s="1"/>
      <c r="AG34"/>
      <c r="AH34"/>
      <c r="AI34"/>
      <c r="AJ34"/>
    </row>
    <row r="35" spans="1:36" s="4" customFormat="1" ht="15" customHeight="1" x14ac:dyDescent="0.25">
      <c r="A35" s="2"/>
      <c r="B35" s="41" t="s">
        <v>90</v>
      </c>
      <c r="C35" s="25"/>
      <c r="D35" s="66"/>
      <c r="E35" s="67"/>
      <c r="F35" s="29"/>
      <c r="G35" s="29">
        <f>F35*1.0923</f>
        <v>0</v>
      </c>
      <c r="H35" s="28">
        <f>SUM(H32)</f>
        <v>39412.5</v>
      </c>
      <c r="I35" s="40">
        <f t="shared" ref="I35:I41" si="11">H35*1.0923</f>
        <v>43050.27375</v>
      </c>
      <c r="K35" s="76"/>
      <c r="L35" s="5"/>
      <c r="M35" s="5"/>
      <c r="N35" s="5"/>
      <c r="O35" s="5"/>
      <c r="P35" s="5"/>
      <c r="Q35" s="5"/>
      <c r="R35" s="5"/>
      <c r="S35" s="3"/>
      <c r="T35" s="5"/>
      <c r="U35" s="3"/>
      <c r="V35" s="5"/>
      <c r="W35" s="5"/>
      <c r="X35" s="5"/>
      <c r="Y35" s="5"/>
      <c r="Z35" s="5"/>
      <c r="AA35" s="5"/>
      <c r="AB35" s="5"/>
      <c r="AC35" s="5"/>
      <c r="AD35" s="5"/>
      <c r="AE35" s="6"/>
      <c r="AF35" s="1"/>
      <c r="AG35"/>
      <c r="AH35"/>
      <c r="AI35"/>
      <c r="AJ35"/>
    </row>
    <row r="36" spans="1:36" s="4" customFormat="1" ht="15" customHeight="1" x14ac:dyDescent="0.25">
      <c r="A36" s="2"/>
      <c r="B36" s="284" t="s">
        <v>91</v>
      </c>
      <c r="C36" s="285" t="s">
        <v>89</v>
      </c>
      <c r="D36" s="255"/>
      <c r="E36" s="255"/>
      <c r="F36" s="53">
        <v>0.1</v>
      </c>
      <c r="G36" s="53"/>
      <c r="H36" s="172">
        <f>H35*F36</f>
        <v>3941.25</v>
      </c>
      <c r="I36" s="294">
        <f t="shared" si="11"/>
        <v>4305.0273750000006</v>
      </c>
      <c r="K36" s="76"/>
      <c r="L36" s="5"/>
      <c r="M36" s="5"/>
      <c r="N36" s="5"/>
      <c r="O36" s="5"/>
      <c r="P36" s="5"/>
      <c r="Q36" s="5"/>
      <c r="R36" s="5"/>
      <c r="S36" s="3"/>
      <c r="T36" s="5"/>
      <c r="U36" s="3"/>
      <c r="V36" s="5"/>
      <c r="W36" s="5"/>
      <c r="X36" s="5"/>
      <c r="Y36" s="5"/>
      <c r="Z36" s="5"/>
      <c r="AA36" s="5"/>
      <c r="AB36" s="5"/>
      <c r="AC36" s="5"/>
      <c r="AD36" s="5"/>
      <c r="AE36" s="6"/>
      <c r="AF36" s="1"/>
      <c r="AG36"/>
      <c r="AH36"/>
      <c r="AI36"/>
      <c r="AJ36"/>
    </row>
    <row r="37" spans="1:36" s="5" customFormat="1" ht="15.75" thickBot="1" x14ac:dyDescent="0.3">
      <c r="A37" s="2"/>
      <c r="B37" s="54" t="s">
        <v>87</v>
      </c>
      <c r="C37" s="55"/>
      <c r="D37" s="68"/>
      <c r="E37" s="69"/>
      <c r="F37" s="56"/>
      <c r="G37" s="56"/>
      <c r="H37" s="173">
        <f>SUM(H35:H36)</f>
        <v>43353.75</v>
      </c>
      <c r="I37" s="178">
        <f t="shared" si="11"/>
        <v>47355.301125000005</v>
      </c>
      <c r="J37" s="4"/>
      <c r="K37" s="76"/>
      <c r="S37" s="3"/>
      <c r="U37" s="3"/>
      <c r="AE37" s="6"/>
      <c r="AF37" s="1"/>
      <c r="AG37"/>
      <c r="AH37"/>
      <c r="AI37"/>
      <c r="AJ37"/>
    </row>
    <row r="38" spans="1:36" s="5" customFormat="1" ht="15.75" thickTop="1" x14ac:dyDescent="0.25">
      <c r="A38" s="2"/>
      <c r="B38" s="282" t="s">
        <v>92</v>
      </c>
      <c r="C38" s="287" t="s">
        <v>93</v>
      </c>
      <c r="D38" s="252"/>
      <c r="E38" s="252"/>
      <c r="F38" s="51">
        <v>0.25</v>
      </c>
      <c r="G38" s="51"/>
      <c r="H38" s="180">
        <f>H37*F38</f>
        <v>10838.4375</v>
      </c>
      <c r="I38" s="297">
        <f t="shared" si="11"/>
        <v>11838.825281250001</v>
      </c>
      <c r="J38" s="4"/>
      <c r="K38" s="76"/>
      <c r="S38" s="3"/>
      <c r="U38" s="3"/>
      <c r="AE38" s="6"/>
      <c r="AF38" s="1"/>
      <c r="AG38"/>
      <c r="AH38"/>
      <c r="AI38"/>
      <c r="AJ38"/>
    </row>
    <row r="39" spans="1:36" s="5" customFormat="1" ht="30" customHeight="1" thickBot="1" x14ac:dyDescent="0.3">
      <c r="A39" s="2"/>
      <c r="B39" s="288" t="s">
        <v>94</v>
      </c>
      <c r="C39" s="289" t="s">
        <v>103</v>
      </c>
      <c r="D39" s="253"/>
      <c r="E39" s="253"/>
      <c r="F39" s="52">
        <v>0.1</v>
      </c>
      <c r="G39" s="52"/>
      <c r="H39" s="174">
        <f>H38*F39</f>
        <v>1083.84375</v>
      </c>
      <c r="I39" s="296">
        <f t="shared" si="11"/>
        <v>1183.8825281250001</v>
      </c>
      <c r="J39" s="4"/>
      <c r="K39" s="76"/>
      <c r="S39" s="3"/>
      <c r="U39" s="3"/>
      <c r="AE39" s="6"/>
      <c r="AF39" s="1"/>
      <c r="AG39"/>
      <c r="AH39"/>
      <c r="AI39"/>
      <c r="AJ39"/>
    </row>
    <row r="40" spans="1:36" s="5" customFormat="1" ht="15.75" thickTop="1" x14ac:dyDescent="0.25">
      <c r="A40" s="2"/>
      <c r="B40" s="39"/>
      <c r="C40" s="22"/>
      <c r="D40" s="17"/>
      <c r="E40" s="4"/>
      <c r="F40" s="7"/>
      <c r="G40" s="7"/>
      <c r="H40" s="7"/>
      <c r="I40" s="183">
        <f t="shared" si="11"/>
        <v>0</v>
      </c>
      <c r="J40" s="4"/>
      <c r="K40" s="76"/>
      <c r="S40" s="3"/>
      <c r="U40" s="3"/>
      <c r="AE40" s="6"/>
      <c r="AF40" s="1"/>
      <c r="AG40"/>
      <c r="AH40"/>
      <c r="AI40"/>
      <c r="AJ40"/>
    </row>
    <row r="41" spans="1:36" s="5" customFormat="1" ht="15.75" thickBot="1" x14ac:dyDescent="0.3">
      <c r="A41" s="2"/>
      <c r="B41" s="43" t="s">
        <v>96</v>
      </c>
      <c r="C41" s="44"/>
      <c r="D41" s="45"/>
      <c r="E41" s="13"/>
      <c r="F41" s="46"/>
      <c r="G41" s="46"/>
      <c r="H41" s="46">
        <f>SUM(H37,H38,H39)</f>
        <v>55276.03125</v>
      </c>
      <c r="I41" s="107">
        <f t="shared" si="11"/>
        <v>60378.008934375001</v>
      </c>
      <c r="J41" s="4"/>
      <c r="K41" s="76"/>
      <c r="S41" s="3"/>
      <c r="U41" s="3"/>
      <c r="AE41" s="6"/>
      <c r="AF41" s="1"/>
      <c r="AG41"/>
      <c r="AH41"/>
      <c r="AI41"/>
      <c r="AJ41"/>
    </row>
    <row r="42" spans="1:36" s="5" customFormat="1" x14ac:dyDescent="0.25">
      <c r="A42" s="2"/>
      <c r="B42" s="1"/>
      <c r="C42" s="4"/>
      <c r="D42" s="4"/>
      <c r="E42" s="3"/>
      <c r="F42" s="3"/>
      <c r="G42" s="3"/>
      <c r="H42" s="3"/>
      <c r="I42" s="3"/>
      <c r="J42" s="4"/>
      <c r="K42" s="76"/>
      <c r="S42" s="3"/>
      <c r="U42" s="3"/>
      <c r="AE42" s="6"/>
      <c r="AF42" s="1"/>
      <c r="AG42"/>
      <c r="AH42"/>
      <c r="AI42"/>
      <c r="AJ42"/>
    </row>
    <row r="43" spans="1:36" s="5" customFormat="1" x14ac:dyDescent="0.25">
      <c r="A43" s="2"/>
      <c r="B43" s="1"/>
      <c r="C43" s="4"/>
      <c r="D43" s="4"/>
      <c r="E43" s="3"/>
      <c r="F43" s="3"/>
      <c r="G43" s="3"/>
      <c r="H43" s="3"/>
      <c r="I43" s="3"/>
      <c r="J43" s="4"/>
      <c r="K43" s="76"/>
      <c r="S43" s="3"/>
      <c r="U43" s="3"/>
      <c r="AE43" s="6"/>
      <c r="AF43" s="1"/>
      <c r="AG43"/>
      <c r="AH43"/>
      <c r="AI43"/>
      <c r="AJ43"/>
    </row>
    <row r="44" spans="1:36" s="5" customFormat="1" x14ac:dyDescent="0.25">
      <c r="A44" s="2"/>
      <c r="B44" s="1"/>
      <c r="C44" s="4"/>
      <c r="D44" s="4"/>
      <c r="E44" s="3"/>
      <c r="F44" s="3"/>
      <c r="G44" s="3"/>
      <c r="H44" s="3"/>
      <c r="I44" s="3"/>
      <c r="J44" s="4"/>
      <c r="S44" s="3"/>
      <c r="U44" s="3"/>
      <c r="AE44" s="6"/>
      <c r="AF44" s="1"/>
      <c r="AG44"/>
      <c r="AH44"/>
      <c r="AI44"/>
      <c r="AJ44"/>
    </row>
  </sheetData>
  <mergeCells count="8">
    <mergeCell ref="B2:I2"/>
    <mergeCell ref="B3:I3"/>
    <mergeCell ref="C39:E39"/>
    <mergeCell ref="K22:S22"/>
    <mergeCell ref="K16:S16"/>
    <mergeCell ref="C34:E34"/>
    <mergeCell ref="C36:E36"/>
    <mergeCell ref="C38:E38"/>
  </mergeCells>
  <dataValidations count="13">
    <dataValidation allowBlank="1" showInputMessage="1" showErrorMessage="1" promptTitle="Contraflow Bike Lanes" prompt="When contraflow bike lanes are used, enter the number of intersections effected." sqref="E10" xr:uid="{28B24337-8574-476D-8ECE-CFF23429B8CD}"/>
    <dataValidation allowBlank="1" showInputMessage="1" showErrorMessage="1" promptTitle="Contraflow Bike Lanes - Length" prompt="These bike lanes allow bicycle traffic to operate in the opposite direction as motor vehicle traffic on one-way streets. Typically no longer than one block long, these bike lanes can be part of a bike boulevard corridor. When used, enter the length." sqref="E9" xr:uid="{CEFE71CD-57C4-4F3E-9074-38CA763BF155}"/>
    <dataValidation allowBlank="1" showInputMessage="1" showErrorMessage="1" promptTitle="Active Unit Cost" prompt="Select traffic calming features by adding cost to the &quot;Active Unit Cost&quot; field.   The quantity for separation is automatically calculated based on project length, number of intersections and intersection width.  _x000a_" sqref="F23:G23 G24:G31" xr:uid="{D24C87AB-D3A4-4B5D-81BD-1AB6B7ABAE62}"/>
    <dataValidation allowBlank="1" showInputMessage="1" showErrorMessage="1" promptTitle="Passive Unit Cost" prompt="The &quot;Passive Unit Cost&quot; is a locked cell which states the current unit price for each features.  In the &quot;Active Unit Cost&quot; cell, type &quot;=&quot; and select the same &quot;Passive Unit Cost&quot; of the same feature.  The subtotal will automatically update. _x000a_" sqref="D25" xr:uid="{4953EDF4-234D-4816-A61D-6F453A05227F}"/>
    <dataValidation allowBlank="1" showInputMessage="1" showErrorMessage="1" promptTitle="Traffic Calming Features" prompt="Traffic calming features improve bicycling conditions along bicycle boulevards corridor.  A combination of traffic calming features can be used to determine project costs._x000a_" sqref="B22" xr:uid="{C8CFF6FD-6DAC-4ADF-8E22-CE9989C22C27}"/>
    <dataValidation allowBlank="1" showInputMessage="1" showErrorMessage="1" prompt="Bike boulevards, also known as neighborhood greenways, are low-volume, low-speed roadways (typically residential) which provide a lower-traffic-stress experience (LTS 2 or 3).  " sqref="B2" xr:uid="{980494C2-B513-4197-8307-72E81A496778}"/>
    <dataValidation allowBlank="1" showInputMessage="1" showErrorMessage="1" prompt="Daily traffic volume should not exceed 2,500 vehicles and posted speed limit must not exceed 25 mph.  Traffic calming features are added to further improve biking conditions, equalizes speeds between motor and bicycle traffic. _x000a_" sqref="B3" xr:uid="{2C6598EC-C57E-4F1A-9B89-E6AFDE28C168}"/>
    <dataValidation allowBlank="1" showInputMessage="1" showErrorMessage="1" promptTitle="Bike Lane Ahead" prompt="Enter additional quanities for this type of sign, if desired or required." sqref="E18" xr:uid="{19A9A9AD-8107-4D41-B360-DF39E70600AA}"/>
    <dataValidation allowBlank="1" showInputMessage="1" showErrorMessage="1" promptTitle="Bike Lane Ends" prompt="Enter additional quanities for this type of sign, if desired or required." sqref="E19" xr:uid="{A633D693-9C51-45ED-A83A-66B2AF408AA3}"/>
    <dataValidation allowBlank="1" showInputMessage="1" showErrorMessage="1" promptTitle="Right Turn Yield to Bikes" prompt="Enter additional quanities for this type of sign, if desired or required." sqref="E20" xr:uid="{E0A4823F-DD7B-4447-A79A-8055882FA5F8}"/>
    <dataValidation allowBlank="1" showInputMessage="1" showErrorMessage="1" promptTitle="Instructions Cell" prompt="Additional instructions can be found if you hover over green colored cells." sqref="L2" xr:uid="{95468EA4-4DC5-4EE2-9C3E-A4E4C4DB1139}"/>
    <dataValidation allowBlank="1" showInputMessage="1" showErrorMessage="1" promptTitle="Green Pavement Marking" prompt="On bike boulevards, green pavement marking is only calculated for contraflow bike lanes." sqref="B15" xr:uid="{2FF020F7-947B-4406-9A35-6006C650B7FF}"/>
    <dataValidation allowBlank="1" showInputMessage="1" showErrorMessage="1" prompt="2025 cost values are estimated by applying a 9.23% inflation rate to 2022 costs." sqref="G4 I4 G11 I11 G16 I16 G22 I22" xr:uid="{51B77531-039C-47B8-AB8C-A8E282B91728}"/>
  </dataValidations>
  <pageMargins left="0.25" right="0.25" top="0.75" bottom="0.75" header="0.3" footer="0.3"/>
  <pageSetup paperSize="3" scale="78" fitToHeight="0" orientation="landscape" r:id="rId1"/>
  <ignoredErrors>
    <ignoredError sqref="H37 H14:H16 H19:H2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B7822-7A9B-4F38-9368-4C397F370488}">
  <sheetPr>
    <pageSetUpPr fitToPage="1"/>
  </sheetPr>
  <dimension ref="A1:CO47"/>
  <sheetViews>
    <sheetView tabSelected="1" topLeftCell="A22" zoomScaleNormal="100" workbookViewId="0">
      <selection activeCell="K4" sqref="K4"/>
    </sheetView>
  </sheetViews>
  <sheetFormatPr defaultRowHeight="15" x14ac:dyDescent="0.25"/>
  <cols>
    <col min="1" max="1" width="8.5703125" style="2" customWidth="1"/>
    <col min="2" max="2" width="23.42578125" style="1" customWidth="1"/>
    <col min="3" max="3" width="23.42578125" style="22" customWidth="1"/>
    <col min="4" max="4" width="13.42578125" style="17" customWidth="1"/>
    <col min="5" max="5" width="8.5703125" style="4" customWidth="1"/>
    <col min="6" max="6" width="13.85546875" style="7" hidden="1" customWidth="1"/>
    <col min="7" max="7" width="13.85546875" style="7" customWidth="1"/>
    <col min="8" max="8" width="15.42578125" style="7" hidden="1" customWidth="1"/>
    <col min="9" max="9" width="15.42578125" style="7" customWidth="1"/>
    <col min="10" max="10" width="12.5703125" style="4" customWidth="1"/>
    <col min="11" max="11" width="12.5703125" style="5" customWidth="1"/>
    <col min="12" max="12" width="14.42578125" style="3" bestFit="1" customWidth="1"/>
    <col min="13" max="13" width="12.5703125" style="5" customWidth="1"/>
    <col min="14" max="14" width="10.5703125" style="3" customWidth="1"/>
    <col min="15" max="18" width="12.5703125" style="5" customWidth="1"/>
    <col min="19" max="19" width="14.42578125" style="5" customWidth="1"/>
    <col min="20" max="21" width="12.5703125" style="5" customWidth="1"/>
    <col min="22" max="22" width="15.42578125" style="5" customWidth="1"/>
    <col min="23" max="23" width="12.5703125" style="5" customWidth="1"/>
    <col min="24" max="24" width="12.5703125" style="6" customWidth="1"/>
    <col min="25" max="25" width="23" style="1" customWidth="1"/>
    <col min="27" max="27" width="9.5703125" bestFit="1" customWidth="1"/>
    <col min="28" max="28" width="11.5703125" bestFit="1" customWidth="1"/>
  </cols>
  <sheetData>
    <row r="1" spans="1:93" ht="15.75" thickBot="1" x14ac:dyDescent="0.3">
      <c r="I1" s="201"/>
    </row>
    <row r="2" spans="1:93" ht="32.25" customHeight="1" x14ac:dyDescent="0.25">
      <c r="A2" s="137"/>
      <c r="B2" s="256" t="s">
        <v>137</v>
      </c>
      <c r="C2" s="257"/>
      <c r="D2" s="257"/>
      <c r="E2" s="257"/>
      <c r="F2" s="257"/>
      <c r="G2" s="257"/>
      <c r="H2" s="257"/>
      <c r="I2" s="258"/>
      <c r="J2" s="59"/>
      <c r="K2" s="59"/>
      <c r="L2" s="58"/>
      <c r="M2" s="58"/>
      <c r="N2" s="58"/>
      <c r="O2" s="58"/>
      <c r="P2" s="58"/>
      <c r="Q2" s="58"/>
      <c r="R2" s="58"/>
      <c r="S2" s="58"/>
      <c r="T2" s="58"/>
      <c r="U2" s="58"/>
      <c r="V2" s="58"/>
      <c r="W2" s="58"/>
      <c r="X2" s="58"/>
      <c r="Y2" s="58"/>
    </row>
    <row r="3" spans="1:93" ht="37.5" customHeight="1" thickBot="1" x14ac:dyDescent="0.3">
      <c r="A3" s="22"/>
      <c r="B3" s="262" t="s">
        <v>99</v>
      </c>
      <c r="C3" s="263"/>
      <c r="D3" s="263"/>
      <c r="E3" s="263"/>
      <c r="F3" s="263"/>
      <c r="G3" s="263"/>
      <c r="H3" s="263"/>
      <c r="I3" s="264"/>
      <c r="J3" s="2"/>
      <c r="K3" s="22"/>
      <c r="L3" s="22"/>
      <c r="M3" s="22"/>
      <c r="N3" s="22"/>
      <c r="O3" s="22"/>
      <c r="P3" s="22"/>
      <c r="Q3" s="22"/>
      <c r="R3" s="22"/>
      <c r="S3" s="22"/>
      <c r="T3" s="22"/>
      <c r="U3" s="22"/>
      <c r="V3" s="22"/>
      <c r="W3" s="22"/>
      <c r="X3" s="22"/>
      <c r="Y3" s="22"/>
    </row>
    <row r="4" spans="1:93" s="11" customFormat="1" ht="51" customHeight="1" x14ac:dyDescent="0.25">
      <c r="A4" s="18"/>
      <c r="B4" s="272" t="s">
        <v>138</v>
      </c>
      <c r="C4" s="308" t="s">
        <v>139</v>
      </c>
      <c r="D4" s="273" t="s">
        <v>140</v>
      </c>
      <c r="E4" s="303" t="s">
        <v>141</v>
      </c>
      <c r="F4" s="138" t="s">
        <v>124</v>
      </c>
      <c r="G4" s="304" t="s">
        <v>125</v>
      </c>
      <c r="H4" s="138" t="s">
        <v>126</v>
      </c>
      <c r="I4" s="304" t="s">
        <v>127</v>
      </c>
      <c r="J4" s="21"/>
      <c r="K4" s="77"/>
      <c r="L4" s="18"/>
      <c r="M4" s="18"/>
      <c r="N4" s="18"/>
      <c r="O4" s="18"/>
      <c r="P4" s="18"/>
      <c r="Q4" s="18"/>
      <c r="R4" s="18"/>
      <c r="S4" s="18"/>
      <c r="T4" s="18"/>
      <c r="U4" s="18"/>
      <c r="V4" s="18"/>
      <c r="W4" s="18"/>
      <c r="X4" s="18"/>
      <c r="Y4" s="18"/>
    </row>
    <row r="5" spans="1:93" s="11" customFormat="1" ht="13.5" customHeight="1" x14ac:dyDescent="0.25">
      <c r="A5" s="82"/>
      <c r="B5" s="31" t="s">
        <v>142</v>
      </c>
      <c r="C5" s="139" t="s">
        <v>143</v>
      </c>
      <c r="D5" s="140">
        <f>E5*5280</f>
        <v>0</v>
      </c>
      <c r="E5" s="126">
        <v>0</v>
      </c>
      <c r="F5" s="19">
        <v>1750000</v>
      </c>
      <c r="G5" s="19">
        <f>F5*1.0923</f>
        <v>1911525</v>
      </c>
      <c r="H5" s="19">
        <f>E5*F5</f>
        <v>0</v>
      </c>
      <c r="I5" s="32">
        <f>H5*1.0923</f>
        <v>0</v>
      </c>
      <c r="J5" s="19"/>
      <c r="K5" s="12"/>
      <c r="L5" s="210"/>
      <c r="M5" s="12"/>
      <c r="N5" s="12"/>
      <c r="O5" s="12"/>
      <c r="P5" s="12"/>
      <c r="Q5" s="12"/>
      <c r="R5" s="12"/>
      <c r="S5" s="12"/>
      <c r="T5" s="12"/>
      <c r="U5" s="12"/>
      <c r="V5" s="12"/>
      <c r="W5" s="12"/>
      <c r="X5" s="12"/>
      <c r="Y5" s="12"/>
    </row>
    <row r="6" spans="1:93" ht="15.75" x14ac:dyDescent="0.25">
      <c r="A6" s="141"/>
      <c r="B6" s="33"/>
      <c r="C6" s="22" t="s">
        <v>144</v>
      </c>
      <c r="D6" s="140">
        <f>E6*5280</f>
        <v>0</v>
      </c>
      <c r="E6" s="126">
        <v>0</v>
      </c>
      <c r="F6" s="7">
        <v>2500000</v>
      </c>
      <c r="G6" s="19">
        <f>F6*1.0923</f>
        <v>2730750</v>
      </c>
      <c r="H6" s="19">
        <f t="shared" ref="H6" si="0">E6*F6</f>
        <v>0</v>
      </c>
      <c r="I6" s="32">
        <f t="shared" ref="I6:I7" si="1">H6*1.0923</f>
        <v>0</v>
      </c>
      <c r="J6" s="19"/>
      <c r="L6" s="210"/>
    </row>
    <row r="7" spans="1:93" ht="15.75" x14ac:dyDescent="0.25">
      <c r="A7" s="35"/>
      <c r="B7" s="34"/>
      <c r="C7" s="35" t="s">
        <v>145</v>
      </c>
      <c r="D7" s="140">
        <f>E7*5280</f>
        <v>0</v>
      </c>
      <c r="E7" s="127">
        <v>0</v>
      </c>
      <c r="F7" s="7">
        <v>1250000</v>
      </c>
      <c r="G7" s="19">
        <f>F7*1.0923</f>
        <v>1365375</v>
      </c>
      <c r="H7" s="19">
        <f>E7*F7</f>
        <v>0</v>
      </c>
      <c r="I7" s="32">
        <f t="shared" si="1"/>
        <v>0</v>
      </c>
      <c r="J7" s="19"/>
    </row>
    <row r="8" spans="1:93" ht="15.75" x14ac:dyDescent="0.25">
      <c r="A8" s="35"/>
      <c r="B8" s="142"/>
      <c r="C8" s="143" t="s">
        <v>146</v>
      </c>
      <c r="D8" s="166">
        <f>E8*5280</f>
        <v>36432</v>
      </c>
      <c r="E8" s="127">
        <v>6.9</v>
      </c>
      <c r="F8" s="144">
        <v>1100000</v>
      </c>
      <c r="G8" s="144">
        <f>F8*1.0923</f>
        <v>1201530</v>
      </c>
      <c r="H8" s="199">
        <f>E8*F8</f>
        <v>7590000</v>
      </c>
      <c r="I8" s="32">
        <f>H8*1.0923</f>
        <v>8290557</v>
      </c>
      <c r="J8" s="19"/>
      <c r="K8" s="19"/>
    </row>
    <row r="9" spans="1:93" x14ac:dyDescent="0.25">
      <c r="A9" s="35"/>
      <c r="B9" s="145" t="s">
        <v>90</v>
      </c>
      <c r="C9" s="143"/>
      <c r="D9" s="146"/>
      <c r="E9" s="147">
        <f>SUM(E5:E8)</f>
        <v>6.9</v>
      </c>
      <c r="F9" s="144"/>
      <c r="G9" s="144"/>
      <c r="H9" s="144">
        <f>SUM(H5:H8)</f>
        <v>7590000</v>
      </c>
      <c r="I9" s="202">
        <f>H9*1.023</f>
        <v>7764569.9999999991</v>
      </c>
    </row>
    <row r="10" spans="1:93" x14ac:dyDescent="0.25">
      <c r="A10" s="35"/>
      <c r="B10" s="148"/>
      <c r="C10" s="35"/>
      <c r="D10" s="62"/>
      <c r="E10" s="149"/>
      <c r="F10" s="37"/>
      <c r="G10" s="37"/>
      <c r="H10" s="37"/>
      <c r="I10" s="202"/>
    </row>
    <row r="11" spans="1:93" x14ac:dyDescent="0.25">
      <c r="A11" s="35"/>
      <c r="B11" s="34" t="s">
        <v>147</v>
      </c>
      <c r="C11" s="35"/>
      <c r="D11" s="120" t="s">
        <v>148</v>
      </c>
      <c r="E11" s="36"/>
      <c r="F11" s="150">
        <v>0.5</v>
      </c>
      <c r="G11" s="150"/>
      <c r="H11" s="37" t="str">
        <f>IF(D11="Yes",H9*F11,"")</f>
        <v/>
      </c>
      <c r="I11" s="38"/>
    </row>
    <row r="12" spans="1:93" x14ac:dyDescent="0.25">
      <c r="A12" s="35"/>
      <c r="B12" s="145" t="s">
        <v>90</v>
      </c>
      <c r="C12" s="35"/>
      <c r="D12" s="151"/>
      <c r="E12" s="36"/>
      <c r="F12" s="150"/>
      <c r="G12" s="150"/>
      <c r="H12" s="37">
        <f>SUM(H9:H11)</f>
        <v>7590000</v>
      </c>
      <c r="I12" s="38">
        <f>H12*1.0923</f>
        <v>8290557</v>
      </c>
    </row>
    <row r="13" spans="1:93" ht="60" x14ac:dyDescent="0.25">
      <c r="A13" s="35"/>
      <c r="B13" s="274" t="s">
        <v>149</v>
      </c>
      <c r="C13" s="152"/>
      <c r="D13" s="298" t="s">
        <v>140</v>
      </c>
      <c r="E13" s="280" t="s">
        <v>141</v>
      </c>
      <c r="F13" s="20" t="s">
        <v>150</v>
      </c>
      <c r="G13" s="281" t="s">
        <v>180</v>
      </c>
      <c r="H13" s="20" t="s">
        <v>59</v>
      </c>
      <c r="I13" s="281" t="s">
        <v>60</v>
      </c>
    </row>
    <row r="14" spans="1:93" s="5" customFormat="1" ht="15.75" x14ac:dyDescent="0.25">
      <c r="A14" s="35"/>
      <c r="B14" s="34"/>
      <c r="C14" s="35" t="s">
        <v>151</v>
      </c>
      <c r="D14" s="118">
        <v>0</v>
      </c>
      <c r="E14" s="36">
        <f>D14/5280</f>
        <v>0</v>
      </c>
      <c r="F14" s="37">
        <v>100</v>
      </c>
      <c r="G14" s="37">
        <f>F14*1.0923</f>
        <v>109.23</v>
      </c>
      <c r="H14" s="19">
        <f>D14*F14*6</f>
        <v>0</v>
      </c>
      <c r="I14" s="32">
        <f>H14*1.0923</f>
        <v>0</v>
      </c>
      <c r="J14" s="4"/>
      <c r="L14" s="3"/>
      <c r="N14" s="3"/>
      <c r="X14" s="6"/>
      <c r="Y14" s="1"/>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row>
    <row r="15" spans="1:93" s="5" customFormat="1" ht="15.75" x14ac:dyDescent="0.25">
      <c r="A15" s="35"/>
      <c r="B15" s="34"/>
      <c r="C15" s="35" t="s">
        <v>152</v>
      </c>
      <c r="D15" s="118">
        <v>0</v>
      </c>
      <c r="E15" s="36">
        <f>D15/5280</f>
        <v>0</v>
      </c>
      <c r="F15" s="37">
        <v>0</v>
      </c>
      <c r="G15" s="37">
        <f t="shared" ref="G15:G16" si="2">F15*1.0923</f>
        <v>0</v>
      </c>
      <c r="H15" s="19">
        <f>D15*F15*6</f>
        <v>0</v>
      </c>
      <c r="I15" s="32">
        <f t="shared" ref="I15:I16" si="3">H15*1.0923</f>
        <v>0</v>
      </c>
      <c r="J15" s="4"/>
      <c r="L15" s="3"/>
      <c r="N15" s="3"/>
      <c r="X15" s="6"/>
      <c r="Y15" s="1"/>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row>
    <row r="16" spans="1:93" s="5" customFormat="1" ht="15.75" x14ac:dyDescent="0.25">
      <c r="A16" s="35"/>
      <c r="B16" s="34"/>
      <c r="C16" s="35" t="s">
        <v>153</v>
      </c>
      <c r="D16" s="118">
        <v>0</v>
      </c>
      <c r="E16" s="36">
        <f t="shared" ref="E16" si="4">D16/5280</f>
        <v>0</v>
      </c>
      <c r="F16" s="37">
        <v>0</v>
      </c>
      <c r="G16" s="37">
        <f t="shared" si="2"/>
        <v>0</v>
      </c>
      <c r="H16" s="19">
        <f>D16*F16*6</f>
        <v>0</v>
      </c>
      <c r="I16" s="32">
        <f t="shared" si="3"/>
        <v>0</v>
      </c>
      <c r="J16" s="4"/>
      <c r="L16" s="3"/>
      <c r="N16" s="3"/>
      <c r="X16" s="6"/>
      <c r="Y16" s="1"/>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row>
    <row r="17" spans="1:93" s="5" customFormat="1" ht="45" x14ac:dyDescent="0.25">
      <c r="A17" s="35"/>
      <c r="B17" s="274" t="s">
        <v>154</v>
      </c>
      <c r="C17" s="152"/>
      <c r="D17" s="298" t="s">
        <v>140</v>
      </c>
      <c r="E17" s="280" t="s">
        <v>141</v>
      </c>
      <c r="F17" s="20" t="s">
        <v>155</v>
      </c>
      <c r="G17" s="281" t="s">
        <v>156</v>
      </c>
      <c r="H17" s="20" t="s">
        <v>59</v>
      </c>
      <c r="I17" s="281" t="s">
        <v>60</v>
      </c>
      <c r="J17" s="4"/>
      <c r="L17" s="3"/>
      <c r="N17" s="3"/>
      <c r="X17" s="6"/>
      <c r="Y17" s="1"/>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row>
    <row r="18" spans="1:93" s="5" customFormat="1" x14ac:dyDescent="0.25">
      <c r="A18" s="35"/>
      <c r="B18" s="154"/>
      <c r="C18" s="35" t="s">
        <v>157</v>
      </c>
      <c r="D18" s="118">
        <v>0</v>
      </c>
      <c r="E18" s="36">
        <f>D18/5280</f>
        <v>0</v>
      </c>
      <c r="F18" s="37">
        <v>400</v>
      </c>
      <c r="G18" s="37">
        <f>F18*1.0923</f>
        <v>436.92</v>
      </c>
      <c r="H18" s="37">
        <f>(D18*14)*F18</f>
        <v>0</v>
      </c>
      <c r="I18" s="38">
        <f>H18*1.0923</f>
        <v>0</v>
      </c>
      <c r="J18" s="4"/>
      <c r="L18" s="3"/>
      <c r="N18" s="3"/>
      <c r="X18" s="6"/>
      <c r="Y18" s="1"/>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row>
    <row r="19" spans="1:93" s="5" customFormat="1" x14ac:dyDescent="0.25">
      <c r="A19" s="35"/>
      <c r="B19" s="154"/>
      <c r="C19" s="35" t="s">
        <v>158</v>
      </c>
      <c r="D19" s="118">
        <v>0</v>
      </c>
      <c r="E19" s="36">
        <f t="shared" ref="E19:E20" si="5">D19/5280</f>
        <v>0</v>
      </c>
      <c r="F19" s="37">
        <v>400</v>
      </c>
      <c r="G19" s="37">
        <f t="shared" ref="G19:G21" si="6">F19*1.0923</f>
        <v>436.92</v>
      </c>
      <c r="H19" s="37">
        <f t="shared" ref="H19:H21" si="7">(D19*14)*F19</f>
        <v>0</v>
      </c>
      <c r="I19" s="38">
        <f t="shared" ref="I19:I21" si="8">H19*1.0923</f>
        <v>0</v>
      </c>
      <c r="J19" s="4"/>
      <c r="L19" s="3"/>
      <c r="N19" s="3"/>
      <c r="X19" s="6"/>
      <c r="Y19" s="1"/>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row>
    <row r="20" spans="1:93" s="5" customFormat="1" x14ac:dyDescent="0.25">
      <c r="A20" s="35"/>
      <c r="B20" s="154"/>
      <c r="C20" s="35" t="s">
        <v>159</v>
      </c>
      <c r="D20" s="118">
        <v>0</v>
      </c>
      <c r="E20" s="36">
        <f t="shared" si="5"/>
        <v>0</v>
      </c>
      <c r="F20" s="37">
        <v>125</v>
      </c>
      <c r="G20" s="37">
        <f t="shared" si="6"/>
        <v>136.53749999999999</v>
      </c>
      <c r="H20" s="37">
        <f t="shared" si="7"/>
        <v>0</v>
      </c>
      <c r="I20" s="38">
        <f t="shared" si="8"/>
        <v>0</v>
      </c>
      <c r="J20" s="4"/>
      <c r="L20" s="3"/>
      <c r="N20" s="3"/>
      <c r="X20" s="6"/>
      <c r="Y20" s="1"/>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row>
    <row r="21" spans="1:93" s="5" customFormat="1" x14ac:dyDescent="0.25">
      <c r="A21" s="35"/>
      <c r="B21" s="154"/>
      <c r="C21" s="35" t="s">
        <v>160</v>
      </c>
      <c r="D21" s="118">
        <v>0</v>
      </c>
      <c r="E21" s="36">
        <v>0</v>
      </c>
      <c r="F21" s="37">
        <v>125</v>
      </c>
      <c r="G21" s="37">
        <f t="shared" si="6"/>
        <v>136.53749999999999</v>
      </c>
      <c r="H21" s="37">
        <f t="shared" si="7"/>
        <v>0</v>
      </c>
      <c r="I21" s="38">
        <f t="shared" si="8"/>
        <v>0</v>
      </c>
      <c r="J21" s="4"/>
      <c r="L21" s="3"/>
      <c r="N21" s="3"/>
      <c r="X21" s="6"/>
      <c r="Y21" s="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row>
    <row r="22" spans="1:93" s="5" customFormat="1" ht="60" x14ac:dyDescent="0.25">
      <c r="A22" s="35"/>
      <c r="B22" s="274" t="s">
        <v>161</v>
      </c>
      <c r="C22" s="152"/>
      <c r="D22" s="298" t="s">
        <v>140</v>
      </c>
      <c r="E22" s="280" t="s">
        <v>141</v>
      </c>
      <c r="F22" s="20" t="s">
        <v>162</v>
      </c>
      <c r="G22" s="281" t="s">
        <v>163</v>
      </c>
      <c r="H22" s="20" t="s">
        <v>59</v>
      </c>
      <c r="I22" s="281" t="s">
        <v>60</v>
      </c>
      <c r="J22" s="4"/>
      <c r="L22" s="3"/>
      <c r="N22" s="3"/>
      <c r="X22" s="6"/>
      <c r="Y22" s="1"/>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row>
    <row r="23" spans="1:93" s="5" customFormat="1" x14ac:dyDescent="0.25">
      <c r="A23" s="35"/>
      <c r="B23" s="154"/>
      <c r="C23" s="35" t="s">
        <v>164</v>
      </c>
      <c r="D23" s="118">
        <v>0</v>
      </c>
      <c r="E23" s="36">
        <f>D23/5280</f>
        <v>0</v>
      </c>
      <c r="F23" s="37">
        <v>45</v>
      </c>
      <c r="G23" s="37">
        <f>F23*1.0923</f>
        <v>49.153500000000001</v>
      </c>
      <c r="H23" s="37">
        <f>(D23*14)*F23</f>
        <v>0</v>
      </c>
      <c r="I23" s="38">
        <f>H23*1.0923</f>
        <v>0</v>
      </c>
      <c r="J23" s="4"/>
      <c r="L23" s="3"/>
      <c r="N23" s="3"/>
      <c r="X23" s="6"/>
      <c r="Y23" s="1"/>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row>
    <row r="24" spans="1:93" s="5" customFormat="1" x14ac:dyDescent="0.25">
      <c r="A24" s="35"/>
      <c r="B24" s="154"/>
      <c r="C24" s="35" t="s">
        <v>165</v>
      </c>
      <c r="D24" s="118">
        <v>250</v>
      </c>
      <c r="E24" s="36">
        <f t="shared" ref="E24:E25" si="9">D24/5280</f>
        <v>4.7348484848484848E-2</v>
      </c>
      <c r="F24" s="37">
        <v>150</v>
      </c>
      <c r="G24" s="37">
        <f t="shared" ref="G24:G26" si="10">F24*1.0923</f>
        <v>163.845</v>
      </c>
      <c r="H24" s="37">
        <f t="shared" ref="H24:H26" si="11">(D24*14)*F24</f>
        <v>525000</v>
      </c>
      <c r="I24" s="38">
        <f t="shared" ref="I24:I26" si="12">H24*1.0923</f>
        <v>573457.5</v>
      </c>
      <c r="J24" s="4"/>
      <c r="L24" s="3"/>
      <c r="N24" s="3"/>
      <c r="X24" s="6"/>
      <c r="Y24" s="1"/>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row>
    <row r="25" spans="1:93" s="5" customFormat="1" x14ac:dyDescent="0.25">
      <c r="A25" s="35"/>
      <c r="B25" s="154"/>
      <c r="C25" s="128"/>
      <c r="D25" s="118">
        <v>0</v>
      </c>
      <c r="E25" s="36">
        <f t="shared" si="9"/>
        <v>0</v>
      </c>
      <c r="F25" s="37">
        <v>0</v>
      </c>
      <c r="G25" s="37">
        <f>F25*1.0923</f>
        <v>0</v>
      </c>
      <c r="H25" s="37">
        <f t="shared" si="11"/>
        <v>0</v>
      </c>
      <c r="I25" s="38">
        <f t="shared" si="12"/>
        <v>0</v>
      </c>
      <c r="J25" s="4"/>
      <c r="L25" s="3"/>
      <c r="N25" s="3"/>
      <c r="X25" s="6"/>
      <c r="Y25" s="1"/>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row>
    <row r="26" spans="1:93" x14ac:dyDescent="0.25">
      <c r="A26" s="35"/>
      <c r="B26" s="154"/>
      <c r="C26" s="128"/>
      <c r="D26" s="118">
        <v>0</v>
      </c>
      <c r="E26" s="36">
        <v>0</v>
      </c>
      <c r="F26" s="37">
        <v>0</v>
      </c>
      <c r="G26" s="37">
        <f t="shared" si="10"/>
        <v>0</v>
      </c>
      <c r="H26" s="37">
        <f t="shared" si="11"/>
        <v>0</v>
      </c>
      <c r="I26" s="38">
        <f t="shared" si="12"/>
        <v>0</v>
      </c>
    </row>
    <row r="27" spans="1:93" ht="60" x14ac:dyDescent="0.25">
      <c r="A27" s="35"/>
      <c r="B27" s="274" t="s">
        <v>166</v>
      </c>
      <c r="C27" s="152"/>
      <c r="D27" s="298" t="s">
        <v>140</v>
      </c>
      <c r="E27" s="280" t="s">
        <v>141</v>
      </c>
      <c r="F27" s="20" t="s">
        <v>167</v>
      </c>
      <c r="G27" s="281" t="s">
        <v>168</v>
      </c>
      <c r="H27" s="20" t="s">
        <v>59</v>
      </c>
      <c r="I27" s="281" t="s">
        <v>60</v>
      </c>
    </row>
    <row r="28" spans="1:93" x14ac:dyDescent="0.25">
      <c r="A28" s="35"/>
      <c r="B28" s="154"/>
      <c r="C28" s="35" t="s">
        <v>169</v>
      </c>
      <c r="D28" s="118">
        <v>0</v>
      </c>
      <c r="E28" s="36">
        <f>D28/5280</f>
        <v>0</v>
      </c>
      <c r="F28" s="37">
        <v>2600</v>
      </c>
      <c r="G28" s="37">
        <f>F28*1.0923</f>
        <v>2839.98</v>
      </c>
      <c r="H28" s="37">
        <f>(D28*16)*F28</f>
        <v>0</v>
      </c>
      <c r="I28" s="38">
        <f>H28*1.0923</f>
        <v>0</v>
      </c>
    </row>
    <row r="29" spans="1:93" x14ac:dyDescent="0.25">
      <c r="A29" s="35"/>
      <c r="B29" s="154"/>
      <c r="C29" s="35" t="s">
        <v>170</v>
      </c>
      <c r="D29" s="118">
        <v>0</v>
      </c>
      <c r="E29" s="36">
        <f t="shared" ref="E29" si="13">D29/5280</f>
        <v>0</v>
      </c>
      <c r="F29" s="37">
        <v>400</v>
      </c>
      <c r="G29" s="37">
        <f>F29*1.0923</f>
        <v>436.92</v>
      </c>
      <c r="H29" s="37">
        <f t="shared" ref="H29" si="14">(D29*14)*F29</f>
        <v>0</v>
      </c>
      <c r="I29" s="38">
        <f>H29*1.0923</f>
        <v>0</v>
      </c>
    </row>
    <row r="30" spans="1:93" ht="45" x14ac:dyDescent="0.25">
      <c r="A30" s="35"/>
      <c r="B30" s="274" t="s">
        <v>171</v>
      </c>
      <c r="C30" s="152"/>
      <c r="D30" s="298" t="s">
        <v>140</v>
      </c>
      <c r="E30" s="280" t="s">
        <v>141</v>
      </c>
      <c r="F30" s="20" t="s">
        <v>172</v>
      </c>
      <c r="G30" s="281" t="s">
        <v>173</v>
      </c>
      <c r="H30" s="20" t="s">
        <v>59</v>
      </c>
      <c r="I30" s="281" t="s">
        <v>60</v>
      </c>
    </row>
    <row r="31" spans="1:93" x14ac:dyDescent="0.25">
      <c r="A31" s="35"/>
      <c r="B31" s="154"/>
      <c r="C31" s="35" t="s">
        <v>174</v>
      </c>
      <c r="D31" s="118">
        <v>500</v>
      </c>
      <c r="E31" s="36">
        <f>D31/5280</f>
        <v>9.4696969696969696E-2</v>
      </c>
      <c r="F31" s="37">
        <v>1000000</v>
      </c>
      <c r="G31" s="37">
        <f>F31*1.0923</f>
        <v>1092300</v>
      </c>
      <c r="H31" s="37">
        <f>E31*F31</f>
        <v>94696.969696969696</v>
      </c>
      <c r="I31" s="38">
        <f>H31*1.0923</f>
        <v>103437.5</v>
      </c>
    </row>
    <row r="32" spans="1:93" x14ac:dyDescent="0.25">
      <c r="A32" s="35"/>
      <c r="B32" s="154"/>
      <c r="C32" s="35" t="s">
        <v>175</v>
      </c>
      <c r="D32" s="118">
        <v>0</v>
      </c>
      <c r="E32" s="36">
        <f>D32/5280</f>
        <v>0</v>
      </c>
      <c r="F32" s="37">
        <v>1000000</v>
      </c>
      <c r="G32" s="37">
        <f>F32*1.0923</f>
        <v>1092300</v>
      </c>
      <c r="H32" s="37">
        <f>E32*F32</f>
        <v>0</v>
      </c>
      <c r="I32" s="38">
        <f>H32*1.0923</f>
        <v>0</v>
      </c>
    </row>
    <row r="33" spans="1:9" x14ac:dyDescent="0.25">
      <c r="A33" s="35"/>
      <c r="B33" s="155"/>
      <c r="C33" s="128"/>
      <c r="D33" s="120"/>
      <c r="E33" s="156"/>
      <c r="F33" s="144"/>
      <c r="G33" s="144"/>
      <c r="H33" s="144"/>
      <c r="I33" s="38"/>
    </row>
    <row r="34" spans="1:9" ht="45" x14ac:dyDescent="0.25">
      <c r="B34" s="274" t="s">
        <v>176</v>
      </c>
      <c r="C34" s="152"/>
      <c r="D34" s="298" t="s">
        <v>177</v>
      </c>
      <c r="E34" s="15"/>
      <c r="F34" s="20" t="s">
        <v>136</v>
      </c>
      <c r="G34" s="281" t="s">
        <v>181</v>
      </c>
      <c r="H34" s="20" t="s">
        <v>59</v>
      </c>
      <c r="I34" s="281" t="s">
        <v>60</v>
      </c>
    </row>
    <row r="35" spans="1:9" x14ac:dyDescent="0.25">
      <c r="B35" s="39"/>
      <c r="C35" s="157" t="s">
        <v>178</v>
      </c>
      <c r="D35" s="118">
        <v>0</v>
      </c>
      <c r="F35" s="7">
        <v>750000</v>
      </c>
      <c r="G35" s="7">
        <f>F35*1.0923</f>
        <v>819225</v>
      </c>
      <c r="H35" s="7">
        <f>D35*F35</f>
        <v>0</v>
      </c>
      <c r="I35" s="40">
        <f>H35*1.0923</f>
        <v>0</v>
      </c>
    </row>
    <row r="36" spans="1:9" ht="15.75" thickBot="1" x14ac:dyDescent="0.3">
      <c r="B36" s="158"/>
      <c r="C36" s="129"/>
      <c r="D36" s="118"/>
      <c r="E36" s="159"/>
      <c r="F36" s="160"/>
      <c r="G36" s="160"/>
      <c r="H36" s="160"/>
      <c r="I36" s="40"/>
    </row>
    <row r="37" spans="1:9" ht="15.75" thickTop="1" x14ac:dyDescent="0.25">
      <c r="B37" s="270" t="s">
        <v>87</v>
      </c>
      <c r="C37" s="47"/>
      <c r="D37" s="48"/>
      <c r="E37" s="49"/>
      <c r="F37" s="50"/>
      <c r="G37" s="50"/>
      <c r="H37" s="50">
        <f>SUM(H12:H36)</f>
        <v>8209696.9696969697</v>
      </c>
      <c r="I37" s="307">
        <f>H37*1.0923</f>
        <v>8967452</v>
      </c>
    </row>
    <row r="38" spans="1:9" x14ac:dyDescent="0.25">
      <c r="B38" s="41"/>
      <c r="C38" s="25"/>
      <c r="D38" s="26"/>
      <c r="E38" s="27"/>
      <c r="F38" s="28"/>
      <c r="G38" s="28"/>
      <c r="H38" s="28"/>
      <c r="I38" s="42"/>
    </row>
    <row r="39" spans="1:9" ht="30" x14ac:dyDescent="0.25">
      <c r="B39" s="282" t="s">
        <v>88</v>
      </c>
      <c r="C39" s="309" t="s">
        <v>89</v>
      </c>
      <c r="D39" s="153"/>
      <c r="E39" s="135"/>
      <c r="F39" s="51">
        <v>0.1</v>
      </c>
      <c r="G39" s="51"/>
      <c r="H39" s="134">
        <f>H37*F39</f>
        <v>820969.69696969702</v>
      </c>
      <c r="I39" s="296">
        <f t="shared" ref="I39:I44" si="15">H39*1.0923</f>
        <v>896745.20000000007</v>
      </c>
    </row>
    <row r="40" spans="1:9" x14ac:dyDescent="0.25">
      <c r="B40" s="41" t="s">
        <v>90</v>
      </c>
      <c r="C40" s="25"/>
      <c r="D40" s="26"/>
      <c r="E40" s="27"/>
      <c r="F40" s="29"/>
      <c r="G40" s="29"/>
      <c r="H40" s="28">
        <f>SUM(H37:H39)</f>
        <v>9030666.666666666</v>
      </c>
      <c r="I40" s="40">
        <f t="shared" si="15"/>
        <v>9864197.1999999993</v>
      </c>
    </row>
    <row r="41" spans="1:9" ht="30" x14ac:dyDescent="0.25">
      <c r="B41" s="284" t="s">
        <v>91</v>
      </c>
      <c r="C41" s="310" t="s">
        <v>179</v>
      </c>
      <c r="D41" s="161"/>
      <c r="E41" s="162"/>
      <c r="F41" s="53">
        <v>0.3</v>
      </c>
      <c r="G41" s="53"/>
      <c r="H41" s="172">
        <f>H40*F41</f>
        <v>2709199.9999999995</v>
      </c>
      <c r="I41" s="286">
        <f t="shared" si="15"/>
        <v>2959259.1599999997</v>
      </c>
    </row>
    <row r="42" spans="1:9" ht="15.75" thickBot="1" x14ac:dyDescent="0.3">
      <c r="B42" s="54" t="s">
        <v>87</v>
      </c>
      <c r="C42" s="55"/>
      <c r="D42" s="163"/>
      <c r="E42" s="164"/>
      <c r="F42" s="56"/>
      <c r="G42" s="56"/>
      <c r="H42" s="173">
        <f>SUM(H40:H41)</f>
        <v>11739866.666666666</v>
      </c>
      <c r="I42" s="189">
        <f t="shared" si="15"/>
        <v>12823456.359999999</v>
      </c>
    </row>
    <row r="43" spans="1:9" ht="30.75" thickTop="1" x14ac:dyDescent="0.25">
      <c r="B43" s="282" t="s">
        <v>92</v>
      </c>
      <c r="C43" s="309" t="s">
        <v>93</v>
      </c>
      <c r="D43" s="298">
        <v>0.25</v>
      </c>
      <c r="E43" s="135"/>
      <c r="F43" s="51">
        <v>0.25</v>
      </c>
      <c r="G43" s="51"/>
      <c r="H43" s="180">
        <f>H42*F43</f>
        <v>2934966.6666666665</v>
      </c>
      <c r="I43" s="297">
        <f t="shared" si="15"/>
        <v>3205864.09</v>
      </c>
    </row>
    <row r="44" spans="1:9" ht="30.75" thickBot="1" x14ac:dyDescent="0.3">
      <c r="B44" s="288" t="s">
        <v>94</v>
      </c>
      <c r="C44" s="311" t="s">
        <v>103</v>
      </c>
      <c r="D44" s="312">
        <v>0.15</v>
      </c>
      <c r="E44" s="165"/>
      <c r="F44" s="52">
        <v>0.1</v>
      </c>
      <c r="G44" s="52"/>
      <c r="H44" s="174">
        <f>H43*F44</f>
        <v>293496.66666666669</v>
      </c>
      <c r="I44" s="290">
        <f t="shared" si="15"/>
        <v>320586.40900000004</v>
      </c>
    </row>
    <row r="45" spans="1:9" ht="15.75" thickTop="1" x14ac:dyDescent="0.25">
      <c r="B45" s="39"/>
      <c r="I45" s="183"/>
    </row>
    <row r="46" spans="1:9" ht="15.75" thickBot="1" x14ac:dyDescent="0.3">
      <c r="B46" s="43" t="s">
        <v>96</v>
      </c>
      <c r="C46" s="44"/>
      <c r="D46" s="45"/>
      <c r="E46" s="13"/>
      <c r="F46" s="46"/>
      <c r="G46" s="46"/>
      <c r="H46" s="46">
        <f>SUM(H42,H43,H44)</f>
        <v>14968329.999999998</v>
      </c>
      <c r="I46" s="178">
        <f>H46*1.0923</f>
        <v>16349906.858999999</v>
      </c>
    </row>
    <row r="47" spans="1:9" x14ac:dyDescent="0.25">
      <c r="I47" s="200"/>
    </row>
  </sheetData>
  <mergeCells count="2">
    <mergeCell ref="B2:I2"/>
    <mergeCell ref="B3:I3"/>
  </mergeCells>
  <dataValidations count="11">
    <dataValidation type="list" allowBlank="1" showInputMessage="1" showErrorMessage="1" sqref="D51:D52" xr:uid="{35579A36-789E-4ECA-9DCA-C94423CBD33A}">
      <formula1>"Yes, No"</formula1>
    </dataValidation>
    <dataValidation allowBlank="1" showInputMessage="1" showErrorMessage="1" promptTitle="Project Length" prompt="As no two shared-use paths are alike, a generalized base cost is provided on the context of the path.  Input the project length (feet) for the context of the trail._x000a_" sqref="D5" xr:uid="{209B781B-2289-4408-90AC-B185FE3B33EE}"/>
    <dataValidation type="list" allowBlank="1" showInputMessage="1" showErrorMessage="1" promptTitle="Pervious Pavement" prompt="Select &quot;Yes&quot; from the drop down list if pervious pavement is used to multiply the mileage cost by 1.5." sqref="D11" xr:uid="{E3D675E3-CCF4-4CE7-96D1-72D84FD2C977}">
      <formula1>"Yes, No"</formula1>
    </dataValidation>
    <dataValidation allowBlank="1" showInputMessage="1" showErrorMessage="1" promptTitle="Retaining Wall Length" prompt="Where steep slopes are required, input the approximate the length (feet) for retaining walls.  Retaining wall costs are calculated at $100 per square foot at a 6-foot height._x000a_" sqref="D14" xr:uid="{96DD8893-3EC5-4AAF-899C-5B7BDF5AC05F}"/>
    <dataValidation allowBlank="1" showInputMessage="1" showErrorMessage="1" promptTitle="Bridge Cost" prompt="Bridge costs are calculated at $400 per square foot, based on a 14-foot-wide bridge. Enter the approximate length (feet) of each bridge. " sqref="D18" xr:uid="{5D1CAA49-F103-4AA3-A349-37A6B1C53F11}"/>
    <dataValidation allowBlank="1" showInputMessage="1" showErrorMessage="1" promptTitle="Pre-fabricated Bridge Cost" prompt="Pre-fabricated bridges costs are calculated at $125 per square foot, based on a 14-foot-wide bridge. Enter the approximate length (feet) of each bridge. " sqref="D20" xr:uid="{6C9633D6-80FB-4E65-AF81-22188BC81DDE}"/>
    <dataValidation allowBlank="1" showInputMessage="1" showErrorMessage="1" promptTitle="Wooden Boardwalk Cost" prompt="Wooden boardwalk costs are calculated at $42 per square foot, based on a 14-foot-wide bridge and $150 per square foot, based on a 14-foot-wide boardwalk with railings.  Enter the approximate length (feet) of each boardwalk. " sqref="D23" xr:uid="{73A92A99-0F6C-464F-8F91-62571834B7FF}"/>
    <dataValidation allowBlank="1" showInputMessage="1" showErrorMessage="1" promptTitle="Tunnel Cost" prompt="Tunnel costs are calculated at $2600 per square foot, based on a 16-foot-wide tunnel. Enter the approximate length (feet) of each tunnel.  _x000a_" sqref="D28" xr:uid="{739A9AB1-71A4-4DB5-BC05-6C2E2771F6FD}"/>
    <dataValidation allowBlank="1" showInputMessage="1" showErrorMessage="1" promptTitle="Lighting Costs" prompt="Lighting costs are calculated at $1 million per linear mile of path. Enter the length (feet) for the approximate length of lighting needed. _x000a_" sqref="D31" xr:uid="{8CC3C797-BF56-4AE1-89CB-398E7085F105}"/>
    <dataValidation allowBlank="1" showInputMessage="1" showErrorMessage="1" promptTitle="Railroad Protection Costs" prompt="Where planned paths cross railroad lines, whether at grade or separated, railroad protection services are required.  Each location costs approximately $750,000 for railroad staff to monitor all construction aspects. Enter the number of locations." sqref="D35" xr:uid="{7701BD3C-3F20-444D-ABD2-16AFDE8D4931}"/>
    <dataValidation allowBlank="1" showInputMessage="1" showErrorMessage="1" prompt="2025 cost values are estimated by applying a 9.23% inflation rate to 2022 costs." sqref="G4 I4 G13 I13 G17 I17 G22 I22 G27 I27 G30 I30 I34" xr:uid="{52DDA3E3-54EE-4480-9C52-34D0B53F0F64}"/>
  </dataValidations>
  <pageMargins left="0.25" right="0.25" top="0.75" bottom="0.75" header="0.3" footer="0.3"/>
  <pageSetup paperSize="3" scale="78" fitToHeight="0" orientation="landscape" r:id="rId1"/>
  <ignoredErrors>
    <ignoredError sqref="H4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A88D9-0E33-46B5-BA28-5CE935775254}">
  <sheetPr>
    <tabColor rgb="FF00B050"/>
    <pageSetUpPr fitToPage="1"/>
  </sheetPr>
  <dimension ref="A1:W30"/>
  <sheetViews>
    <sheetView zoomScale="85" zoomScaleNormal="95" zoomScaleSheetLayoutView="100" workbookViewId="0">
      <selection activeCell="C4" sqref="C4:G4"/>
    </sheetView>
  </sheetViews>
  <sheetFormatPr defaultRowHeight="15" x14ac:dyDescent="0.25"/>
  <cols>
    <col min="1" max="1" width="22.5703125" style="2" customWidth="1"/>
    <col min="2" max="2" width="27.140625" style="1" customWidth="1"/>
    <col min="3" max="3" width="23.42578125" style="1" customWidth="1"/>
    <col min="4" max="5" width="8.5703125" style="4" customWidth="1"/>
    <col min="6" max="6" width="13.85546875" style="4" customWidth="1"/>
    <col min="7" max="9" width="12.5703125" style="5" customWidth="1"/>
    <col min="10" max="10" width="14.42578125" style="3" bestFit="1" customWidth="1"/>
    <col min="11" max="11" width="12.5703125" style="5" customWidth="1"/>
    <col min="12" max="12" width="10.5703125" style="3" customWidth="1"/>
    <col min="13" max="16" width="12.5703125" style="5" customWidth="1"/>
    <col min="17" max="17" width="14.42578125" style="5" customWidth="1"/>
    <col min="18" max="19" width="12.5703125" style="5" customWidth="1"/>
    <col min="20" max="20" width="15.42578125" style="5" customWidth="1"/>
    <col min="21" max="21" width="12.5703125" style="5" customWidth="1"/>
    <col min="22" max="22" width="12.5703125" style="6" customWidth="1"/>
    <col min="23" max="23" width="23" style="1" customWidth="1"/>
    <col min="25" max="25" width="9.5703125" bestFit="1" customWidth="1"/>
    <col min="26" max="26" width="11.5703125" bestFit="1" customWidth="1"/>
  </cols>
  <sheetData>
    <row r="1" spans="1:23" ht="32.25" customHeight="1" x14ac:dyDescent="0.25">
      <c r="A1" s="213" t="s">
        <v>0</v>
      </c>
      <c r="B1" s="214"/>
      <c r="C1" s="214"/>
      <c r="D1" s="214"/>
      <c r="E1" s="214"/>
      <c r="F1" s="214"/>
      <c r="G1" s="215"/>
      <c r="H1" s="58"/>
      <c r="I1" s="58"/>
      <c r="J1" s="58"/>
      <c r="K1" s="58"/>
      <c r="L1" s="58"/>
      <c r="M1" s="58"/>
      <c r="N1" s="58"/>
      <c r="O1" s="58"/>
      <c r="P1" s="58"/>
      <c r="Q1" s="58"/>
      <c r="R1" s="58"/>
      <c r="S1" s="58"/>
      <c r="T1" s="58"/>
      <c r="U1" s="58"/>
      <c r="V1" s="58"/>
      <c r="W1" s="58"/>
    </row>
    <row r="2" spans="1:23" ht="51.6" customHeight="1" thickBot="1" x14ac:dyDescent="0.3">
      <c r="A2" s="244" t="s">
        <v>10</v>
      </c>
      <c r="B2" s="244"/>
      <c r="C2" s="244"/>
      <c r="D2" s="244"/>
      <c r="E2" s="244"/>
      <c r="F2" s="244"/>
      <c r="G2" s="244"/>
      <c r="H2" s="58"/>
      <c r="I2" s="58"/>
      <c r="J2" s="58"/>
      <c r="K2" s="58"/>
      <c r="L2" s="58"/>
      <c r="M2" s="58"/>
      <c r="N2" s="58"/>
      <c r="O2" s="58"/>
      <c r="P2" s="58"/>
      <c r="Q2" s="58"/>
      <c r="R2" s="58"/>
      <c r="S2" s="58"/>
      <c r="T2" s="58"/>
      <c r="U2" s="58"/>
      <c r="V2" s="58"/>
      <c r="W2" s="58"/>
    </row>
    <row r="3" spans="1:23" s="80" customFormat="1" ht="15.75" customHeight="1" thickBot="1" x14ac:dyDescent="0.3">
      <c r="A3" s="95" t="s">
        <v>11</v>
      </c>
      <c r="B3" s="96" t="s">
        <v>12</v>
      </c>
      <c r="C3" s="92" t="s">
        <v>13</v>
      </c>
      <c r="D3" s="92"/>
      <c r="E3" s="92"/>
      <c r="F3" s="92"/>
      <c r="G3" s="93"/>
      <c r="H3" s="91"/>
      <c r="I3" s="91"/>
      <c r="J3" s="91"/>
      <c r="K3" s="91"/>
      <c r="L3" s="91"/>
      <c r="M3" s="91"/>
      <c r="N3" s="91"/>
      <c r="O3" s="91"/>
      <c r="P3" s="91"/>
      <c r="Q3" s="91"/>
      <c r="R3" s="91"/>
      <c r="S3" s="91"/>
      <c r="T3" s="91"/>
      <c r="U3" s="91"/>
      <c r="V3" s="91"/>
      <c r="W3" s="91"/>
    </row>
    <row r="4" spans="1:23" ht="60" customHeight="1" x14ac:dyDescent="0.25">
      <c r="A4" s="94" t="s">
        <v>14</v>
      </c>
      <c r="B4" s="83" t="s">
        <v>14</v>
      </c>
      <c r="C4" s="245" t="s">
        <v>15</v>
      </c>
      <c r="D4" s="246"/>
      <c r="E4" s="246"/>
      <c r="F4" s="246"/>
      <c r="G4" s="247"/>
      <c r="H4" s="1"/>
      <c r="I4" s="1"/>
      <c r="J4" s="1"/>
      <c r="K4" s="1"/>
      <c r="L4" s="1"/>
      <c r="M4" s="1"/>
      <c r="N4" s="1"/>
      <c r="O4" s="1"/>
      <c r="P4" s="1"/>
      <c r="Q4" s="1"/>
      <c r="R4" s="1"/>
      <c r="S4" s="1"/>
      <c r="T4" s="1"/>
      <c r="U4" s="1"/>
      <c r="V4" s="1"/>
    </row>
    <row r="5" spans="1:23" ht="60" customHeight="1" x14ac:dyDescent="0.25">
      <c r="A5" s="209" t="s">
        <v>14</v>
      </c>
      <c r="B5" s="84" t="s">
        <v>16</v>
      </c>
      <c r="C5" s="241" t="s">
        <v>17</v>
      </c>
      <c r="D5" s="242"/>
      <c r="E5" s="242"/>
      <c r="F5" s="242"/>
      <c r="G5" s="243"/>
      <c r="H5" s="1"/>
      <c r="I5" s="1"/>
      <c r="J5" s="1"/>
      <c r="K5" s="1"/>
      <c r="L5" s="1"/>
      <c r="M5" s="1"/>
      <c r="N5" s="1"/>
      <c r="O5" s="1"/>
      <c r="P5" s="1"/>
      <c r="Q5" s="1"/>
      <c r="R5" s="1"/>
      <c r="S5" s="1"/>
      <c r="T5" s="1"/>
      <c r="U5" s="1"/>
      <c r="V5" s="1"/>
    </row>
    <row r="6" spans="1:23" ht="60" customHeight="1" x14ac:dyDescent="0.25">
      <c r="A6" s="209" t="s">
        <v>18</v>
      </c>
      <c r="B6" s="84" t="s">
        <v>19</v>
      </c>
      <c r="C6" s="241" t="s">
        <v>20</v>
      </c>
      <c r="D6" s="242"/>
      <c r="E6" s="242"/>
      <c r="F6" s="242"/>
      <c r="G6" s="243"/>
      <c r="H6" s="1"/>
      <c r="I6" s="1"/>
      <c r="J6" s="1"/>
      <c r="K6" s="1"/>
      <c r="L6" s="1"/>
      <c r="M6" s="1"/>
      <c r="N6" s="1"/>
      <c r="O6" s="1"/>
      <c r="P6" s="1"/>
      <c r="Q6" s="1"/>
      <c r="R6" s="1"/>
      <c r="S6" s="1"/>
      <c r="T6" s="1"/>
      <c r="U6" s="1"/>
      <c r="V6" s="1"/>
    </row>
    <row r="7" spans="1:23" ht="60" customHeight="1" x14ac:dyDescent="0.25">
      <c r="A7" s="209" t="s">
        <v>18</v>
      </c>
      <c r="B7" s="84" t="s">
        <v>21</v>
      </c>
      <c r="C7" s="241" t="s">
        <v>22</v>
      </c>
      <c r="D7" s="242"/>
      <c r="E7" s="242"/>
      <c r="F7" s="242"/>
      <c r="G7" s="243"/>
      <c r="H7" s="1"/>
      <c r="I7" s="1"/>
      <c r="J7" s="1"/>
      <c r="K7" s="1"/>
      <c r="L7" s="1"/>
      <c r="M7" s="1"/>
      <c r="N7" s="1"/>
      <c r="O7" s="1"/>
      <c r="P7" s="1"/>
      <c r="Q7" s="1"/>
      <c r="R7" s="1"/>
      <c r="S7" s="1"/>
      <c r="T7" s="1"/>
      <c r="U7" s="1"/>
      <c r="V7" s="1"/>
    </row>
    <row r="8" spans="1:23" ht="60" customHeight="1" x14ac:dyDescent="0.25">
      <c r="A8" s="209" t="s">
        <v>18</v>
      </c>
      <c r="B8" s="84" t="s">
        <v>23</v>
      </c>
      <c r="C8" s="241" t="s">
        <v>24</v>
      </c>
      <c r="D8" s="242"/>
      <c r="E8" s="242"/>
      <c r="F8" s="242"/>
      <c r="G8" s="243"/>
      <c r="H8" s="1"/>
      <c r="I8" s="1"/>
      <c r="J8" s="1"/>
      <c r="K8" s="1"/>
      <c r="L8" s="1"/>
      <c r="M8" s="1"/>
      <c r="N8" s="1"/>
      <c r="O8" s="1"/>
      <c r="P8" s="1"/>
      <c r="Q8" s="1"/>
      <c r="R8" s="1"/>
      <c r="S8" s="1"/>
      <c r="T8" s="1"/>
      <c r="U8" s="1"/>
      <c r="V8" s="1"/>
    </row>
    <row r="9" spans="1:23" ht="60" customHeight="1" x14ac:dyDescent="0.25">
      <c r="A9" s="209" t="s">
        <v>18</v>
      </c>
      <c r="B9" s="84" t="s">
        <v>25</v>
      </c>
      <c r="C9" s="241" t="s">
        <v>26</v>
      </c>
      <c r="D9" s="242"/>
      <c r="E9" s="242"/>
      <c r="F9" s="242"/>
      <c r="G9" s="243"/>
      <c r="H9" s="1"/>
      <c r="I9" s="1"/>
      <c r="J9" s="1"/>
      <c r="K9" s="1"/>
      <c r="L9" s="1"/>
      <c r="M9" s="1"/>
      <c r="N9" s="1"/>
      <c r="O9" s="1"/>
      <c r="P9" s="1"/>
      <c r="Q9" s="1"/>
      <c r="R9" s="1"/>
      <c r="S9" s="1"/>
      <c r="T9" s="1"/>
      <c r="U9" s="1"/>
      <c r="V9" s="1"/>
    </row>
    <row r="10" spans="1:23" ht="165" customHeight="1" x14ac:dyDescent="0.25">
      <c r="A10" s="209" t="s">
        <v>27</v>
      </c>
      <c r="B10" s="84" t="s">
        <v>28</v>
      </c>
      <c r="C10" s="241" t="s">
        <v>29</v>
      </c>
      <c r="D10" s="242"/>
      <c r="E10" s="242"/>
      <c r="F10" s="242"/>
      <c r="G10" s="243"/>
      <c r="H10" s="1"/>
      <c r="I10" s="1"/>
      <c r="J10" s="1"/>
      <c r="K10" s="1"/>
      <c r="L10" s="1"/>
      <c r="M10" s="1"/>
      <c r="N10" s="1"/>
      <c r="O10" s="1"/>
      <c r="P10" s="1"/>
      <c r="Q10" s="1"/>
      <c r="R10" s="1"/>
      <c r="S10" s="1"/>
      <c r="T10" s="1"/>
      <c r="U10" s="1"/>
      <c r="V10" s="1"/>
    </row>
    <row r="11" spans="1:23" ht="159.6" customHeight="1" x14ac:dyDescent="0.25">
      <c r="A11" s="209" t="s">
        <v>27</v>
      </c>
      <c r="B11" s="84" t="s">
        <v>30</v>
      </c>
      <c r="C11" s="241" t="s">
        <v>31</v>
      </c>
      <c r="D11" s="242"/>
      <c r="E11" s="242"/>
      <c r="F11" s="242"/>
      <c r="G11" s="243"/>
      <c r="H11" s="1"/>
      <c r="I11" s="1"/>
      <c r="J11" s="1"/>
      <c r="K11" s="1"/>
      <c r="L11" s="1"/>
      <c r="M11" s="1"/>
      <c r="N11" s="1"/>
      <c r="O11" s="1"/>
      <c r="P11" s="1"/>
      <c r="Q11" s="1"/>
      <c r="R11" s="1"/>
      <c r="S11" s="1"/>
      <c r="T11" s="1"/>
      <c r="U11" s="1"/>
      <c r="V11" s="1"/>
    </row>
    <row r="12" spans="1:23" ht="100.35" customHeight="1" x14ac:dyDescent="0.25">
      <c r="A12" s="209" t="s">
        <v>32</v>
      </c>
      <c r="B12" s="84" t="s">
        <v>33</v>
      </c>
      <c r="C12" s="241" t="s">
        <v>34</v>
      </c>
      <c r="D12" s="242"/>
      <c r="E12" s="242"/>
      <c r="F12" s="242"/>
      <c r="G12" s="243"/>
      <c r="H12" s="1"/>
      <c r="I12" s="1"/>
      <c r="J12" s="1"/>
      <c r="K12" s="1"/>
      <c r="L12" s="1"/>
      <c r="M12" s="1"/>
      <c r="N12" s="1"/>
      <c r="O12" s="1"/>
      <c r="P12" s="1"/>
      <c r="Q12" s="1"/>
      <c r="R12" s="1"/>
      <c r="S12" s="1"/>
      <c r="T12" s="1"/>
      <c r="U12" s="1"/>
      <c r="V12" s="1"/>
    </row>
    <row r="13" spans="1:23" ht="100.35" customHeight="1" x14ac:dyDescent="0.25">
      <c r="A13" s="209" t="s">
        <v>35</v>
      </c>
      <c r="B13" s="84" t="s">
        <v>36</v>
      </c>
      <c r="C13" s="248" t="s">
        <v>37</v>
      </c>
      <c r="D13" s="249"/>
      <c r="E13" s="249"/>
      <c r="F13" s="249"/>
      <c r="G13" s="250"/>
      <c r="H13" s="89"/>
      <c r="I13" s="89"/>
      <c r="J13" s="89"/>
      <c r="K13" s="89"/>
      <c r="L13" s="89"/>
      <c r="M13" s="89"/>
      <c r="N13" s="89"/>
      <c r="O13" s="89"/>
      <c r="P13" s="89"/>
      <c r="Q13" s="89"/>
      <c r="R13" s="89"/>
      <c r="S13" s="89"/>
      <c r="T13" s="89"/>
      <c r="U13" s="89"/>
      <c r="V13" s="89"/>
      <c r="W13" s="89"/>
    </row>
    <row r="14" spans="1:23" ht="100.35" customHeight="1" x14ac:dyDescent="0.25">
      <c r="A14" s="209" t="s">
        <v>38</v>
      </c>
      <c r="B14" s="84" t="s">
        <v>39</v>
      </c>
      <c r="C14" s="241" t="s">
        <v>40</v>
      </c>
      <c r="D14" s="242"/>
      <c r="E14" s="242"/>
      <c r="F14" s="242"/>
      <c r="G14" s="243"/>
      <c r="H14" s="1"/>
      <c r="I14" s="1"/>
      <c r="J14" s="1"/>
      <c r="K14" s="1"/>
      <c r="L14" s="1"/>
      <c r="M14" s="1"/>
      <c r="N14" s="1"/>
      <c r="O14" s="1"/>
      <c r="P14" s="1"/>
      <c r="Q14" s="1"/>
      <c r="R14" s="1"/>
      <c r="S14" s="1"/>
      <c r="T14" s="1"/>
      <c r="U14" s="1"/>
      <c r="V14" s="1"/>
    </row>
    <row r="15" spans="1:23" ht="104.1" customHeight="1" thickBot="1" x14ac:dyDescent="0.3">
      <c r="A15" s="205" t="s">
        <v>41</v>
      </c>
      <c r="B15" s="85" t="s">
        <v>42</v>
      </c>
      <c r="C15" s="238" t="s">
        <v>43</v>
      </c>
      <c r="D15" s="239"/>
      <c r="E15" s="239"/>
      <c r="F15" s="239"/>
      <c r="G15" s="240"/>
      <c r="H15" s="22"/>
      <c r="I15" s="22"/>
      <c r="J15" s="22"/>
      <c r="K15" s="22"/>
      <c r="L15" s="22"/>
      <c r="M15" s="22"/>
      <c r="N15" s="22"/>
      <c r="O15" s="22"/>
      <c r="P15" s="22"/>
      <c r="Q15" s="22"/>
      <c r="R15" s="22"/>
      <c r="S15" s="22"/>
      <c r="T15" s="22"/>
      <c r="U15" s="22"/>
      <c r="V15" s="22"/>
      <c r="W15" s="22"/>
    </row>
    <row r="16" spans="1:23" x14ac:dyDescent="0.25">
      <c r="B16" s="10"/>
      <c r="C16" s="10"/>
      <c r="D16" s="10"/>
      <c r="E16" s="10"/>
      <c r="F16" s="10"/>
      <c r="G16" s="10"/>
    </row>
    <row r="17" spans="1:23" x14ac:dyDescent="0.25">
      <c r="A17" s="10"/>
      <c r="B17" s="10"/>
      <c r="C17" s="10"/>
      <c r="D17" s="10"/>
      <c r="E17" s="10"/>
      <c r="F17" s="10"/>
      <c r="G17" s="10"/>
    </row>
    <row r="18" spans="1:23" x14ac:dyDescent="0.25">
      <c r="A18" s="10"/>
      <c r="B18" s="10"/>
      <c r="C18" s="10"/>
      <c r="D18" s="10"/>
      <c r="E18" s="10"/>
      <c r="F18" s="10"/>
      <c r="G18" s="10"/>
    </row>
    <row r="19" spans="1:23" x14ac:dyDescent="0.25">
      <c r="A19" s="10"/>
      <c r="B19" s="10"/>
      <c r="C19" s="10"/>
      <c r="D19" s="10"/>
      <c r="E19" s="10"/>
      <c r="F19" s="10"/>
      <c r="G19" s="10"/>
    </row>
    <row r="20" spans="1:23" x14ac:dyDescent="0.25">
      <c r="A20" s="10"/>
      <c r="B20" s="10"/>
      <c r="C20" s="10"/>
      <c r="D20" s="10"/>
      <c r="E20" s="10"/>
      <c r="F20" s="10"/>
      <c r="G20" s="10"/>
    </row>
    <row r="21" spans="1:23" x14ac:dyDescent="0.25">
      <c r="A21" s="10"/>
      <c r="B21" s="10"/>
      <c r="C21" s="10"/>
      <c r="D21" s="10"/>
      <c r="E21" s="10"/>
      <c r="F21" s="10"/>
      <c r="G21" s="10"/>
    </row>
    <row r="22" spans="1:23" x14ac:dyDescent="0.25">
      <c r="A22" s="10"/>
      <c r="B22" s="10"/>
      <c r="C22" s="10"/>
      <c r="D22" s="10"/>
      <c r="E22" s="10"/>
      <c r="F22" s="10"/>
      <c r="G22" s="10"/>
    </row>
    <row r="23" spans="1:23" x14ac:dyDescent="0.25">
      <c r="A23" s="10"/>
      <c r="B23" s="10"/>
      <c r="C23" s="10"/>
      <c r="D23" s="10"/>
      <c r="E23" s="10"/>
      <c r="F23" s="10"/>
      <c r="G23" s="10"/>
    </row>
    <row r="24" spans="1:23" s="5" customFormat="1" x14ac:dyDescent="0.25">
      <c r="A24" s="10"/>
      <c r="B24" s="10"/>
      <c r="C24" s="10"/>
      <c r="D24" s="10"/>
      <c r="E24" s="10"/>
      <c r="F24" s="10"/>
      <c r="G24" s="10"/>
      <c r="J24" s="3"/>
      <c r="L24" s="3"/>
      <c r="V24" s="6"/>
      <c r="W24" s="1"/>
    </row>
    <row r="25" spans="1:23" s="5" customFormat="1" x14ac:dyDescent="0.25">
      <c r="A25" s="10"/>
      <c r="B25" s="10"/>
      <c r="C25" s="10"/>
      <c r="D25" s="10"/>
      <c r="E25" s="10"/>
      <c r="F25" s="10"/>
      <c r="G25" s="10"/>
      <c r="J25" s="3"/>
      <c r="L25" s="3"/>
      <c r="V25" s="6"/>
      <c r="W25" s="1"/>
    </row>
    <row r="26" spans="1:23" s="5" customFormat="1" x14ac:dyDescent="0.25">
      <c r="A26" s="10"/>
      <c r="B26" s="10"/>
      <c r="C26" s="10"/>
      <c r="D26" s="10"/>
      <c r="E26" s="10"/>
      <c r="F26" s="10"/>
      <c r="G26" s="10"/>
      <c r="J26" s="3"/>
      <c r="L26" s="3"/>
      <c r="V26" s="6"/>
      <c r="W26" s="1"/>
    </row>
    <row r="27" spans="1:23" s="5" customFormat="1" x14ac:dyDescent="0.25">
      <c r="A27" s="10"/>
      <c r="B27" s="10"/>
      <c r="C27" s="10"/>
      <c r="D27" s="10"/>
      <c r="E27" s="10"/>
      <c r="F27" s="10"/>
      <c r="G27" s="10"/>
      <c r="J27" s="3"/>
      <c r="L27" s="3"/>
      <c r="V27" s="6"/>
      <c r="W27" s="1"/>
    </row>
    <row r="28" spans="1:23" s="5" customFormat="1" x14ac:dyDescent="0.25">
      <c r="A28" s="10"/>
      <c r="B28" s="10"/>
      <c r="C28" s="10"/>
      <c r="D28" s="10"/>
      <c r="E28" s="10"/>
      <c r="F28" s="10"/>
      <c r="G28" s="10"/>
      <c r="J28" s="3"/>
      <c r="L28" s="3"/>
      <c r="V28" s="6"/>
      <c r="W28" s="1"/>
    </row>
    <row r="29" spans="1:23" s="5" customFormat="1" x14ac:dyDescent="0.25">
      <c r="A29" s="10"/>
      <c r="B29" s="10"/>
      <c r="C29" s="10"/>
      <c r="D29" s="10"/>
      <c r="E29" s="10"/>
      <c r="F29" s="10"/>
      <c r="G29" s="10"/>
      <c r="J29" s="3"/>
      <c r="L29" s="3"/>
      <c r="V29" s="6"/>
      <c r="W29" s="1"/>
    </row>
    <row r="30" spans="1:23" x14ac:dyDescent="0.25">
      <c r="A30" s="10"/>
      <c r="B30" s="10"/>
      <c r="C30" s="10"/>
      <c r="D30" s="10"/>
      <c r="E30" s="10"/>
      <c r="F30" s="10"/>
      <c r="G30" s="10"/>
    </row>
  </sheetData>
  <mergeCells count="14">
    <mergeCell ref="C15:G15"/>
    <mergeCell ref="A1:G1"/>
    <mergeCell ref="C14:G14"/>
    <mergeCell ref="A2:G2"/>
    <mergeCell ref="C4:G4"/>
    <mergeCell ref="C5:G5"/>
    <mergeCell ref="C6:G6"/>
    <mergeCell ref="C7:G7"/>
    <mergeCell ref="C8:G8"/>
    <mergeCell ref="C9:G9"/>
    <mergeCell ref="C10:G10"/>
    <mergeCell ref="C11:G11"/>
    <mergeCell ref="C12:G12"/>
    <mergeCell ref="C13:G13"/>
  </mergeCells>
  <pageMargins left="0.25" right="0.25" top="0.75" bottom="0.75" header="0.3" footer="0.3"/>
  <pageSetup scale="87" fitToHeight="0" orientation="portrait" r:id="rId1"/>
  <headerFooter>
    <oddHeader>&amp;A</oddHeader>
    <oddFooter>Page &amp;P of &amp;N</oddFooter>
  </headerFooter>
  <rowBreaks count="1" manualBreakCount="1">
    <brk id="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68D0-D3A8-4D07-A059-03D64C3347AC}">
  <sheetPr>
    <tabColor rgb="FF00B050"/>
    <pageSetUpPr fitToPage="1"/>
  </sheetPr>
  <dimension ref="A1:AJ40"/>
  <sheetViews>
    <sheetView topLeftCell="A21" zoomScale="95" zoomScaleNormal="95" zoomScaleSheetLayoutView="100" workbookViewId="0">
      <selection activeCell="D26" sqref="D26"/>
    </sheetView>
  </sheetViews>
  <sheetFormatPr defaultRowHeight="15" x14ac:dyDescent="0.25"/>
  <cols>
    <col min="1" max="1" width="5.42578125" style="2" customWidth="1"/>
    <col min="2" max="2" width="28.140625" style="1" customWidth="1"/>
    <col min="3" max="3" width="13.5703125" style="4" customWidth="1"/>
    <col min="4" max="4" width="8.5703125" style="4" customWidth="1"/>
    <col min="5" max="5" width="12.42578125" style="3" customWidth="1"/>
    <col min="6" max="6" width="12" style="3" hidden="1" customWidth="1"/>
    <col min="7" max="7" width="12" style="3" customWidth="1"/>
    <col min="8" max="8" width="14" style="3" hidden="1" customWidth="1"/>
    <col min="9" max="9" width="14" style="3" customWidth="1"/>
    <col min="10" max="10" width="5.42578125" style="4" customWidth="1"/>
    <col min="11" max="12" width="12.570312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32.25" customHeight="1" x14ac:dyDescent="0.25">
      <c r="A1" s="213" t="s">
        <v>44</v>
      </c>
      <c r="B1" s="214"/>
      <c r="C1" s="214"/>
      <c r="D1" s="214"/>
      <c r="E1" s="214"/>
      <c r="F1" s="214"/>
      <c r="G1" s="214"/>
      <c r="H1" s="214"/>
      <c r="I1" s="214"/>
      <c r="J1" s="214"/>
      <c r="K1"/>
      <c r="L1"/>
      <c r="M1"/>
      <c r="N1"/>
      <c r="O1"/>
      <c r="P1"/>
      <c r="Q1"/>
      <c r="R1"/>
      <c r="S1"/>
      <c r="T1"/>
      <c r="U1"/>
      <c r="V1"/>
      <c r="W1"/>
      <c r="X1"/>
      <c r="Y1"/>
      <c r="Z1"/>
      <c r="AA1"/>
      <c r="AB1"/>
      <c r="AC1"/>
      <c r="AD1"/>
      <c r="AE1"/>
      <c r="AF1"/>
    </row>
    <row r="2" spans="1:36" ht="79.5" customHeight="1" x14ac:dyDescent="0.25">
      <c r="A2" s="251" t="s">
        <v>45</v>
      </c>
      <c r="B2" s="251"/>
      <c r="C2" s="251"/>
      <c r="D2" s="251"/>
      <c r="E2" s="251"/>
      <c r="F2" s="251"/>
      <c r="G2" s="251"/>
      <c r="H2" s="251"/>
      <c r="I2" s="251"/>
      <c r="J2" s="251"/>
      <c r="K2" s="91"/>
      <c r="L2" s="91"/>
      <c r="M2" s="91"/>
      <c r="N2" s="91"/>
      <c r="O2" s="91"/>
      <c r="P2" s="17"/>
      <c r="Q2" s="7"/>
      <c r="R2" s="7"/>
      <c r="T2" s="7"/>
      <c r="V2" s="7"/>
      <c r="W2" s="7"/>
      <c r="X2" s="7"/>
      <c r="Y2" s="7"/>
      <c r="Z2" s="7"/>
      <c r="AA2" s="7"/>
      <c r="AB2" s="7"/>
      <c r="AC2" s="7"/>
      <c r="AD2" s="7"/>
      <c r="AE2" s="16"/>
      <c r="AH2" s="9"/>
      <c r="AI2" s="8"/>
    </row>
    <row r="3" spans="1:36" ht="15.75" thickBot="1" x14ac:dyDescent="0.3">
      <c r="C3" s="2"/>
      <c r="J3" s="2"/>
      <c r="K3" s="7"/>
      <c r="L3" s="17"/>
      <c r="M3" s="17"/>
      <c r="N3" s="7"/>
      <c r="O3" s="7"/>
      <c r="P3" s="17"/>
      <c r="Q3" s="7"/>
      <c r="R3" s="7"/>
      <c r="T3" s="7"/>
      <c r="V3" s="7"/>
      <c r="W3" s="7"/>
      <c r="X3" s="7"/>
      <c r="Y3" s="7"/>
      <c r="Z3" s="7"/>
      <c r="AA3" s="7"/>
      <c r="AB3" s="7"/>
      <c r="AC3" s="7"/>
      <c r="AD3" s="7"/>
      <c r="AE3" s="16"/>
      <c r="AH3" s="9"/>
      <c r="AI3" s="8"/>
    </row>
    <row r="4" spans="1:36" ht="37.5" customHeight="1" x14ac:dyDescent="0.25">
      <c r="A4" s="10"/>
      <c r="B4" s="256" t="s">
        <v>46</v>
      </c>
      <c r="C4" s="257"/>
      <c r="D4" s="257"/>
      <c r="E4" s="257"/>
      <c r="F4" s="257"/>
      <c r="G4" s="257"/>
      <c r="H4" s="257"/>
      <c r="I4" s="258"/>
      <c r="J4" s="10"/>
    </row>
    <row r="5" spans="1:36" s="5" customFormat="1" ht="15.75" customHeight="1" thickBot="1" x14ac:dyDescent="0.3">
      <c r="A5" s="10"/>
      <c r="B5" s="259" t="s">
        <v>47</v>
      </c>
      <c r="C5" s="260"/>
      <c r="D5" s="260"/>
      <c r="E5" s="260"/>
      <c r="F5" s="260"/>
      <c r="G5" s="260"/>
      <c r="H5" s="260"/>
      <c r="I5" s="261"/>
      <c r="J5" s="10"/>
      <c r="K5" s="10"/>
      <c r="S5" s="3"/>
      <c r="U5" s="3"/>
      <c r="AE5" s="6"/>
      <c r="AF5" s="1"/>
      <c r="AG5"/>
      <c r="AH5"/>
      <c r="AI5"/>
      <c r="AJ5"/>
    </row>
    <row r="6" spans="1:36" s="5" customFormat="1" x14ac:dyDescent="0.25">
      <c r="A6" s="10"/>
      <c r="B6" s="272" t="s">
        <v>48</v>
      </c>
      <c r="C6" s="60"/>
      <c r="D6" s="60"/>
      <c r="E6" s="273" t="s">
        <v>49</v>
      </c>
      <c r="F6" s="30"/>
      <c r="G6" s="30"/>
      <c r="H6" s="138"/>
      <c r="I6" s="106"/>
      <c r="J6" s="10"/>
      <c r="K6" s="86"/>
      <c r="S6" s="3"/>
      <c r="U6" s="3"/>
      <c r="AE6" s="6"/>
      <c r="AF6" s="1"/>
      <c r="AG6"/>
      <c r="AH6"/>
      <c r="AI6"/>
      <c r="AJ6"/>
    </row>
    <row r="7" spans="1:36" s="5" customFormat="1" ht="15.75" x14ac:dyDescent="0.25">
      <c r="A7" s="10"/>
      <c r="B7" s="31" t="s">
        <v>50</v>
      </c>
      <c r="C7" s="21" t="s">
        <v>51</v>
      </c>
      <c r="E7" s="113">
        <f>E8*5280</f>
        <v>7920</v>
      </c>
      <c r="F7" s="21"/>
      <c r="G7" s="21"/>
      <c r="H7" s="19"/>
      <c r="I7" s="32"/>
      <c r="J7" s="10"/>
      <c r="K7" s="86"/>
      <c r="L7" s="82"/>
      <c r="M7" s="21"/>
      <c r="O7" s="63"/>
      <c r="S7" s="3"/>
      <c r="U7" s="3"/>
      <c r="AE7" s="6"/>
      <c r="AF7" s="1"/>
      <c r="AG7"/>
      <c r="AH7"/>
      <c r="AI7"/>
      <c r="AJ7"/>
    </row>
    <row r="8" spans="1:36" s="5" customFormat="1" ht="15" customHeight="1" x14ac:dyDescent="0.25">
      <c r="A8" s="10"/>
      <c r="B8" s="31" t="s">
        <v>50</v>
      </c>
      <c r="C8" s="21" t="s">
        <v>52</v>
      </c>
      <c r="E8" s="114">
        <v>1.5</v>
      </c>
      <c r="F8" s="21"/>
      <c r="G8" s="21"/>
      <c r="H8" s="19"/>
      <c r="I8" s="32"/>
      <c r="J8" s="10"/>
      <c r="K8" s="87"/>
      <c r="L8" s="82"/>
      <c r="M8" s="21"/>
      <c r="O8" s="63"/>
      <c r="S8" s="3"/>
      <c r="U8" s="3"/>
      <c r="AE8" s="6"/>
      <c r="AF8" s="1"/>
      <c r="AG8"/>
      <c r="AH8"/>
      <c r="AI8"/>
      <c r="AJ8"/>
    </row>
    <row r="9" spans="1:36" s="5" customFormat="1" ht="15.75" x14ac:dyDescent="0.25">
      <c r="A9" s="10"/>
      <c r="B9" s="33" t="s">
        <v>53</v>
      </c>
      <c r="C9" s="2" t="s">
        <v>54</v>
      </c>
      <c r="E9" s="115">
        <v>35</v>
      </c>
      <c r="F9" s="7"/>
      <c r="G9" s="7"/>
      <c r="H9" s="19"/>
      <c r="I9" s="32"/>
      <c r="J9" s="10"/>
      <c r="K9" s="86"/>
      <c r="S9" s="3"/>
      <c r="U9" s="3"/>
      <c r="AE9" s="6"/>
      <c r="AF9" s="1"/>
      <c r="AG9"/>
      <c r="AH9"/>
      <c r="AI9"/>
      <c r="AJ9"/>
    </row>
    <row r="10" spans="1:36" s="5" customFormat="1" ht="15.75" x14ac:dyDescent="0.25">
      <c r="A10" s="10"/>
      <c r="B10" s="34" t="s">
        <v>55</v>
      </c>
      <c r="C10" s="64" t="s">
        <v>51</v>
      </c>
      <c r="E10" s="115">
        <v>40</v>
      </c>
      <c r="F10" s="7"/>
      <c r="G10" s="7"/>
      <c r="H10" s="19"/>
      <c r="I10" s="32"/>
      <c r="J10" s="10"/>
      <c r="K10" s="10"/>
      <c r="S10" s="3"/>
      <c r="U10" s="3"/>
      <c r="AE10" s="6"/>
      <c r="AF10" s="1"/>
      <c r="AG10"/>
      <c r="AH10"/>
      <c r="AI10"/>
      <c r="AJ10"/>
    </row>
    <row r="11" spans="1:36" s="5" customFormat="1" ht="15.75" x14ac:dyDescent="0.25">
      <c r="A11" s="10"/>
      <c r="B11" s="34"/>
      <c r="C11" s="64"/>
      <c r="E11" s="24"/>
      <c r="F11" s="37"/>
      <c r="G11" s="37"/>
      <c r="H11" s="19"/>
      <c r="I11" s="32"/>
      <c r="J11" s="10"/>
      <c r="K11" s="10"/>
      <c r="S11" s="3"/>
      <c r="U11" s="3"/>
      <c r="AE11" s="6"/>
      <c r="AF11" s="1"/>
      <c r="AG11"/>
      <c r="AH11"/>
      <c r="AI11"/>
      <c r="AJ11"/>
    </row>
    <row r="12" spans="1:36" s="5" customFormat="1" ht="30" x14ac:dyDescent="0.25">
      <c r="A12" s="10"/>
      <c r="B12" s="274" t="s">
        <v>56</v>
      </c>
      <c r="C12" s="75"/>
      <c r="D12" s="70"/>
      <c r="E12" s="275" t="s">
        <v>49</v>
      </c>
      <c r="F12" s="20" t="s">
        <v>57</v>
      </c>
      <c r="G12" s="276" t="s">
        <v>58</v>
      </c>
      <c r="H12" s="20" t="s">
        <v>59</v>
      </c>
      <c r="I12" s="277" t="s">
        <v>60</v>
      </c>
      <c r="J12" s="10"/>
      <c r="K12" s="86"/>
      <c r="S12" s="3"/>
      <c r="U12" s="3"/>
      <c r="AE12" s="6"/>
      <c r="AF12" s="1"/>
      <c r="AG12"/>
      <c r="AH12"/>
      <c r="AI12"/>
      <c r="AJ12"/>
    </row>
    <row r="13" spans="1:36" s="5" customFormat="1" ht="15.75" x14ac:dyDescent="0.25">
      <c r="A13" s="10"/>
      <c r="B13" s="34" t="s">
        <v>61</v>
      </c>
      <c r="C13" s="64" t="s">
        <v>54</v>
      </c>
      <c r="E13" s="108">
        <f>E7*2/300+(E9*2)</f>
        <v>122.8</v>
      </c>
      <c r="F13" s="37">
        <v>500</v>
      </c>
      <c r="G13" s="37">
        <f>F13*1.0923</f>
        <v>546.15</v>
      </c>
      <c r="H13" s="168">
        <f>E13*F13</f>
        <v>61400</v>
      </c>
      <c r="I13" s="104">
        <f>E13*G13</f>
        <v>67067.22</v>
      </c>
      <c r="J13" s="10"/>
      <c r="K13" s="10"/>
      <c r="S13" s="3"/>
      <c r="U13" s="3"/>
      <c r="AE13" s="6"/>
      <c r="AF13" s="1"/>
      <c r="AG13"/>
      <c r="AH13"/>
      <c r="AI13"/>
      <c r="AJ13"/>
    </row>
    <row r="14" spans="1:36" s="5" customFormat="1" ht="30" x14ac:dyDescent="0.25">
      <c r="A14" s="10"/>
      <c r="B14" s="61" t="s">
        <v>62</v>
      </c>
      <c r="C14" s="64" t="s">
        <v>51</v>
      </c>
      <c r="E14" s="108">
        <f>E7-(E9*E10)</f>
        <v>6520</v>
      </c>
      <c r="F14" s="37">
        <v>20</v>
      </c>
      <c r="G14" s="37">
        <f t="shared" ref="G14:G17" si="0">F14*1.0923</f>
        <v>21.846</v>
      </c>
      <c r="H14" s="19">
        <f>E14*F14</f>
        <v>130400</v>
      </c>
      <c r="I14" s="32">
        <f>E14*G14</f>
        <v>142435.92000000001</v>
      </c>
      <c r="J14" s="10"/>
      <c r="K14" s="10"/>
      <c r="S14" s="3"/>
      <c r="U14" s="3"/>
      <c r="AE14" s="6"/>
      <c r="AF14" s="1"/>
      <c r="AG14"/>
      <c r="AH14"/>
      <c r="AI14"/>
      <c r="AJ14"/>
    </row>
    <row r="15" spans="1:36" s="5" customFormat="1" ht="45" x14ac:dyDescent="0.25">
      <c r="A15" s="10"/>
      <c r="B15" s="61" t="s">
        <v>63</v>
      </c>
      <c r="C15" s="64" t="s">
        <v>51</v>
      </c>
      <c r="E15" s="24">
        <f>(E7-(E9*E10))/10*4.25</f>
        <v>2771</v>
      </c>
      <c r="F15" s="37">
        <v>20</v>
      </c>
      <c r="G15" s="37">
        <f t="shared" si="0"/>
        <v>21.846</v>
      </c>
      <c r="H15" s="19">
        <f>E15*F15</f>
        <v>55420</v>
      </c>
      <c r="I15" s="32">
        <f t="shared" ref="I15:I16" si="1">E15*G15</f>
        <v>60535.266000000003</v>
      </c>
      <c r="J15" s="10"/>
      <c r="K15" s="35"/>
      <c r="S15" s="3"/>
      <c r="U15" s="3"/>
      <c r="AE15" s="6"/>
      <c r="AF15" s="1"/>
      <c r="AG15"/>
      <c r="AH15"/>
      <c r="AI15"/>
      <c r="AJ15"/>
    </row>
    <row r="16" spans="1:36" s="5" customFormat="1" ht="30" x14ac:dyDescent="0.25">
      <c r="A16" s="10"/>
      <c r="B16" s="61" t="s">
        <v>64</v>
      </c>
      <c r="C16" s="64" t="s">
        <v>51</v>
      </c>
      <c r="D16" s="24"/>
      <c r="E16" s="109">
        <v>0</v>
      </c>
      <c r="F16" s="37">
        <v>20</v>
      </c>
      <c r="G16" s="37">
        <f t="shared" si="0"/>
        <v>21.846</v>
      </c>
      <c r="H16" s="19">
        <f>E16*F16</f>
        <v>0</v>
      </c>
      <c r="I16" s="32">
        <f t="shared" si="1"/>
        <v>0</v>
      </c>
      <c r="J16" s="10"/>
      <c r="K16" s="10"/>
      <c r="S16" s="3"/>
      <c r="U16" s="3"/>
      <c r="AE16" s="6"/>
      <c r="AF16" s="1"/>
      <c r="AG16"/>
      <c r="AH16"/>
      <c r="AI16"/>
      <c r="AJ16"/>
    </row>
    <row r="17" spans="1:36" s="5" customFormat="1" ht="15.75" x14ac:dyDescent="0.25">
      <c r="A17" s="10"/>
      <c r="B17" s="61" t="s">
        <v>65</v>
      </c>
      <c r="C17" s="64" t="s">
        <v>66</v>
      </c>
      <c r="D17" s="24"/>
      <c r="E17" s="36">
        <f>((E10+20)*E9)*6</f>
        <v>12600</v>
      </c>
      <c r="F17" s="37">
        <v>20</v>
      </c>
      <c r="G17" s="37">
        <f t="shared" si="0"/>
        <v>21.846</v>
      </c>
      <c r="H17" s="19">
        <f>E17*F17</f>
        <v>252000</v>
      </c>
      <c r="I17" s="32">
        <f>E17*G17</f>
        <v>275259.59999999998</v>
      </c>
      <c r="J17" s="10"/>
      <c r="K17" s="10"/>
      <c r="S17" s="3"/>
      <c r="U17" s="3"/>
      <c r="AE17" s="6"/>
      <c r="AF17" s="1"/>
      <c r="AG17"/>
      <c r="AH17"/>
      <c r="AI17"/>
      <c r="AJ17"/>
    </row>
    <row r="18" spans="1:36" ht="30" x14ac:dyDescent="0.25">
      <c r="B18" s="274" t="s">
        <v>67</v>
      </c>
      <c r="C18" s="278" t="s">
        <v>68</v>
      </c>
      <c r="D18" s="279" t="s">
        <v>69</v>
      </c>
      <c r="E18" s="280" t="s">
        <v>49</v>
      </c>
      <c r="F18" s="20" t="s">
        <v>57</v>
      </c>
      <c r="G18" s="276" t="s">
        <v>58</v>
      </c>
      <c r="H18" s="20" t="s">
        <v>59</v>
      </c>
      <c r="I18" s="281" t="s">
        <v>60</v>
      </c>
      <c r="K18" s="88"/>
    </row>
    <row r="19" spans="1:36" ht="15.75" x14ac:dyDescent="0.25">
      <c r="B19" s="71" t="s">
        <v>70</v>
      </c>
      <c r="C19" s="36" t="s">
        <v>71</v>
      </c>
      <c r="D19" s="24">
        <v>3</v>
      </c>
      <c r="E19" s="73">
        <f>(E7/2)+(E9*2)</f>
        <v>4030</v>
      </c>
      <c r="F19" s="37">
        <v>50</v>
      </c>
      <c r="G19" s="37">
        <f>F19*1.0923</f>
        <v>54.615000000000002</v>
      </c>
      <c r="H19" s="169">
        <f>D19*E19*F19</f>
        <v>604500</v>
      </c>
      <c r="I19" s="103">
        <f>D19*E19*G19</f>
        <v>660295.35</v>
      </c>
      <c r="K19" s="76"/>
    </row>
    <row r="20" spans="1:36" s="4" customFormat="1" x14ac:dyDescent="0.25">
      <c r="A20" s="2"/>
      <c r="B20" s="71" t="s">
        <v>72</v>
      </c>
      <c r="C20" s="36" t="s">
        <v>73</v>
      </c>
      <c r="D20" s="62">
        <v>1.3</v>
      </c>
      <c r="E20" s="73">
        <v>2</v>
      </c>
      <c r="F20" s="37">
        <v>50</v>
      </c>
      <c r="G20" s="37">
        <f t="shared" ref="G20:G23" si="2">F20*1.0923</f>
        <v>54.615000000000002</v>
      </c>
      <c r="H20" s="37">
        <f>D20*E20*F20</f>
        <v>130</v>
      </c>
      <c r="I20" s="38">
        <f>D20*E20*G20</f>
        <v>141.99900000000002</v>
      </c>
      <c r="K20" s="76"/>
      <c r="L20" s="5"/>
      <c r="M20" s="5"/>
      <c r="N20" s="5"/>
      <c r="O20" s="5"/>
      <c r="P20" s="5"/>
      <c r="Q20" s="5"/>
      <c r="R20" s="5"/>
      <c r="S20" s="3"/>
      <c r="T20" s="5"/>
      <c r="U20" s="3"/>
      <c r="V20" s="5"/>
      <c r="W20" s="5"/>
      <c r="X20" s="5"/>
      <c r="Y20" s="5"/>
      <c r="Z20" s="5"/>
      <c r="AA20" s="5"/>
      <c r="AB20" s="5"/>
      <c r="AC20" s="5"/>
      <c r="AD20" s="5"/>
      <c r="AE20" s="6"/>
      <c r="AF20" s="1"/>
      <c r="AG20"/>
      <c r="AH20"/>
      <c r="AI20"/>
      <c r="AJ20"/>
    </row>
    <row r="21" spans="1:36" s="4" customFormat="1" x14ac:dyDescent="0.25">
      <c r="A21" s="2"/>
      <c r="B21" s="71" t="s">
        <v>74</v>
      </c>
      <c r="C21" s="36" t="s">
        <v>73</v>
      </c>
      <c r="D21" s="62">
        <v>1.3</v>
      </c>
      <c r="E21" s="73">
        <v>2</v>
      </c>
      <c r="F21" s="37">
        <v>50</v>
      </c>
      <c r="G21" s="37">
        <f t="shared" si="2"/>
        <v>54.615000000000002</v>
      </c>
      <c r="H21" s="37">
        <f t="shared" ref="H21:H23" si="3">D21*E21*F21</f>
        <v>130</v>
      </c>
      <c r="I21" s="38">
        <f t="shared" ref="I21:I23" si="4">D21*E21*G21</f>
        <v>141.99900000000002</v>
      </c>
      <c r="K21" s="76"/>
      <c r="L21" s="5"/>
      <c r="M21" s="5"/>
      <c r="N21" s="5"/>
      <c r="O21" s="5"/>
      <c r="P21" s="5"/>
      <c r="Q21" s="5"/>
      <c r="R21" s="5"/>
      <c r="S21" s="3"/>
      <c r="T21" s="5"/>
      <c r="U21" s="3"/>
      <c r="V21" s="5"/>
      <c r="W21" s="5"/>
      <c r="X21" s="5"/>
      <c r="Y21" s="5"/>
      <c r="Z21" s="5"/>
      <c r="AA21" s="5"/>
      <c r="AB21" s="5"/>
      <c r="AC21" s="5"/>
      <c r="AD21" s="5"/>
      <c r="AE21" s="6"/>
      <c r="AF21" s="1"/>
      <c r="AG21"/>
      <c r="AH21"/>
      <c r="AI21"/>
      <c r="AJ21"/>
    </row>
    <row r="22" spans="1:36" s="4" customFormat="1" ht="30" x14ac:dyDescent="0.25">
      <c r="A22" s="2"/>
      <c r="B22" s="71" t="s">
        <v>75</v>
      </c>
      <c r="C22" s="36" t="s">
        <v>76</v>
      </c>
      <c r="D22" s="62">
        <v>7.5</v>
      </c>
      <c r="E22" s="73">
        <f>E9</f>
        <v>35</v>
      </c>
      <c r="F22" s="37">
        <v>50</v>
      </c>
      <c r="G22" s="37">
        <f t="shared" si="2"/>
        <v>54.615000000000002</v>
      </c>
      <c r="H22" s="37">
        <f t="shared" si="3"/>
        <v>13125</v>
      </c>
      <c r="I22" s="38">
        <f t="shared" si="4"/>
        <v>14336.4375</v>
      </c>
      <c r="K22" s="76"/>
      <c r="L22" s="5"/>
      <c r="M22" s="5"/>
      <c r="N22" s="5"/>
      <c r="O22" s="5"/>
      <c r="P22" s="5"/>
      <c r="Q22" s="5"/>
      <c r="R22" s="5"/>
      <c r="S22" s="3"/>
      <c r="T22" s="5"/>
      <c r="U22" s="3"/>
      <c r="V22" s="5"/>
      <c r="W22" s="5"/>
      <c r="X22" s="5"/>
      <c r="Y22" s="5"/>
      <c r="Z22" s="5"/>
      <c r="AA22" s="5"/>
      <c r="AB22" s="5"/>
      <c r="AC22" s="5"/>
      <c r="AD22" s="5"/>
      <c r="AE22" s="6"/>
      <c r="AF22" s="1"/>
      <c r="AG22"/>
      <c r="AH22"/>
      <c r="AI22"/>
      <c r="AJ22"/>
    </row>
    <row r="23" spans="1:36" s="4" customFormat="1" ht="30" x14ac:dyDescent="0.25">
      <c r="A23" s="2"/>
      <c r="B23" s="71" t="s">
        <v>77</v>
      </c>
      <c r="C23" s="36" t="s">
        <v>78</v>
      </c>
      <c r="D23" s="62">
        <v>6.25</v>
      </c>
      <c r="E23" s="73">
        <v>0</v>
      </c>
      <c r="F23" s="37">
        <v>50</v>
      </c>
      <c r="G23" s="37">
        <f t="shared" si="2"/>
        <v>54.615000000000002</v>
      </c>
      <c r="H23" s="37">
        <f t="shared" si="3"/>
        <v>0</v>
      </c>
      <c r="I23" s="38">
        <f t="shared" si="4"/>
        <v>0</v>
      </c>
      <c r="K23" s="76"/>
      <c r="L23" s="5"/>
      <c r="M23" s="5"/>
      <c r="N23" s="5"/>
      <c r="O23" s="5"/>
      <c r="P23" s="5"/>
      <c r="Q23" s="5"/>
      <c r="R23" s="5"/>
      <c r="S23" s="3"/>
      <c r="T23" s="5"/>
      <c r="U23" s="3"/>
      <c r="V23" s="5"/>
      <c r="W23" s="5"/>
      <c r="X23" s="5"/>
      <c r="Y23" s="5"/>
      <c r="Z23" s="5"/>
      <c r="AA23" s="5"/>
      <c r="AB23" s="5"/>
      <c r="AC23" s="5"/>
      <c r="AD23" s="5"/>
      <c r="AE23" s="6"/>
      <c r="AF23" s="1"/>
      <c r="AG23"/>
      <c r="AH23"/>
      <c r="AI23"/>
      <c r="AJ23"/>
    </row>
    <row r="24" spans="1:36" s="4" customFormat="1" x14ac:dyDescent="0.25">
      <c r="A24" s="2"/>
      <c r="B24" s="72"/>
      <c r="C24" s="35"/>
      <c r="D24" s="62"/>
      <c r="E24" s="36"/>
      <c r="F24" s="37"/>
      <c r="G24" s="37"/>
      <c r="H24" s="37"/>
      <c r="I24" s="38"/>
      <c r="K24" s="76"/>
      <c r="L24" s="5"/>
      <c r="M24" s="5"/>
      <c r="N24" s="5"/>
      <c r="O24" s="5"/>
      <c r="P24" s="5"/>
      <c r="Q24" s="5"/>
      <c r="R24" s="5"/>
      <c r="S24" s="3"/>
      <c r="T24" s="5"/>
      <c r="U24" s="3"/>
      <c r="V24" s="5"/>
      <c r="W24" s="5"/>
      <c r="X24" s="5"/>
      <c r="Y24" s="5"/>
      <c r="Z24" s="5"/>
      <c r="AA24" s="5"/>
      <c r="AB24" s="5"/>
      <c r="AC24" s="5"/>
      <c r="AD24" s="5"/>
      <c r="AE24" s="6"/>
      <c r="AF24" s="1"/>
      <c r="AG24"/>
      <c r="AH24"/>
      <c r="AI24"/>
      <c r="AJ24"/>
    </row>
    <row r="25" spans="1:36" s="4" customFormat="1" ht="45" x14ac:dyDescent="0.25">
      <c r="A25" s="2"/>
      <c r="B25" s="274" t="s">
        <v>79</v>
      </c>
      <c r="C25" s="65"/>
      <c r="D25" s="279" t="s">
        <v>80</v>
      </c>
      <c r="E25" s="280" t="s">
        <v>49</v>
      </c>
      <c r="F25" s="20" t="s">
        <v>81</v>
      </c>
      <c r="G25" s="276" t="s">
        <v>82</v>
      </c>
      <c r="H25" s="20" t="s">
        <v>59</v>
      </c>
      <c r="I25" s="281" t="s">
        <v>60</v>
      </c>
      <c r="K25" s="76"/>
      <c r="L25" s="5"/>
      <c r="M25" s="5"/>
      <c r="N25" s="5"/>
      <c r="O25" s="5"/>
      <c r="P25" s="5"/>
      <c r="Q25" s="5"/>
      <c r="R25" s="5"/>
      <c r="S25" s="3"/>
      <c r="T25" s="5"/>
      <c r="U25" s="3"/>
      <c r="V25" s="5"/>
      <c r="W25" s="5"/>
      <c r="X25" s="5"/>
      <c r="Y25" s="5"/>
      <c r="Z25" s="5"/>
      <c r="AA25" s="5"/>
      <c r="AB25" s="5"/>
      <c r="AC25" s="5"/>
      <c r="AD25" s="5"/>
      <c r="AE25" s="6"/>
      <c r="AF25" s="1"/>
      <c r="AG25"/>
      <c r="AH25"/>
      <c r="AI25"/>
      <c r="AJ25"/>
    </row>
    <row r="26" spans="1:36" s="4" customFormat="1" x14ac:dyDescent="0.25">
      <c r="A26" s="2"/>
      <c r="B26" s="71" t="s">
        <v>83</v>
      </c>
      <c r="C26" s="36" t="s">
        <v>54</v>
      </c>
      <c r="D26" s="292">
        <v>50</v>
      </c>
      <c r="E26" s="36">
        <f>E14/10+E9*2</f>
        <v>722</v>
      </c>
      <c r="F26" s="111">
        <f>D26</f>
        <v>50</v>
      </c>
      <c r="G26" s="167">
        <f>F26*1.0923</f>
        <v>54.615000000000002</v>
      </c>
      <c r="H26" s="37">
        <f>E26*F26</f>
        <v>36100</v>
      </c>
      <c r="I26" s="38">
        <f>E26*G26</f>
        <v>39432.03</v>
      </c>
      <c r="K26" s="76"/>
      <c r="L26" s="5"/>
      <c r="M26" s="5"/>
      <c r="N26" s="5"/>
      <c r="O26" s="5"/>
      <c r="P26" s="5"/>
      <c r="Q26" s="5"/>
      <c r="R26" s="5"/>
      <c r="S26" s="3"/>
      <c r="T26" s="5"/>
      <c r="U26" s="3"/>
      <c r="V26" s="5"/>
      <c r="W26" s="5"/>
      <c r="X26" s="5"/>
      <c r="Y26" s="5"/>
      <c r="Z26" s="5"/>
      <c r="AA26" s="5"/>
      <c r="AB26" s="5"/>
      <c r="AC26" s="5"/>
      <c r="AD26" s="5"/>
      <c r="AE26" s="6"/>
      <c r="AF26" s="1"/>
      <c r="AG26"/>
      <c r="AH26"/>
      <c r="AI26"/>
      <c r="AJ26"/>
    </row>
    <row r="27" spans="1:36" s="4" customFormat="1" ht="45" x14ac:dyDescent="0.25">
      <c r="A27" s="2"/>
      <c r="B27" s="71" t="s">
        <v>84</v>
      </c>
      <c r="C27" s="36" t="s">
        <v>54</v>
      </c>
      <c r="D27" s="291">
        <v>1000</v>
      </c>
      <c r="E27" s="73">
        <f>E14/60</f>
        <v>108.66666666666667</v>
      </c>
      <c r="F27" s="112">
        <v>0</v>
      </c>
      <c r="G27" s="112">
        <f>F27*1.0923</f>
        <v>0</v>
      </c>
      <c r="H27" s="37">
        <f>E27*F27</f>
        <v>0</v>
      </c>
      <c r="I27" s="38">
        <f t="shared" ref="I27:I28" si="5">E27*G27</f>
        <v>0</v>
      </c>
      <c r="K27" s="76"/>
      <c r="L27" s="5"/>
      <c r="M27" s="5"/>
      <c r="N27" s="5"/>
      <c r="O27" s="5"/>
      <c r="P27" s="5"/>
      <c r="Q27" s="5"/>
      <c r="R27" s="5"/>
      <c r="S27" s="3"/>
      <c r="T27" s="5"/>
      <c r="U27" s="3"/>
      <c r="V27" s="5"/>
      <c r="W27" s="5"/>
      <c r="X27" s="5"/>
      <c r="Y27" s="5"/>
      <c r="Z27" s="5"/>
      <c r="AA27" s="5"/>
      <c r="AB27" s="5"/>
      <c r="AC27" s="5"/>
      <c r="AD27" s="5"/>
      <c r="AE27" s="6"/>
      <c r="AF27" s="1"/>
      <c r="AG27"/>
      <c r="AH27"/>
      <c r="AI27"/>
      <c r="AJ27"/>
    </row>
    <row r="28" spans="1:36" s="4" customFormat="1" ht="30" x14ac:dyDescent="0.25">
      <c r="A28" s="2"/>
      <c r="B28" s="71" t="s">
        <v>85</v>
      </c>
      <c r="C28" s="36" t="s">
        <v>54</v>
      </c>
      <c r="D28" s="291">
        <v>1250</v>
      </c>
      <c r="E28" s="73">
        <f>E14/31+E9</f>
        <v>245.32258064516128</v>
      </c>
      <c r="F28" s="112">
        <v>0</v>
      </c>
      <c r="G28" s="112">
        <f t="shared" ref="G28:G29" si="6">F28*1.0923</f>
        <v>0</v>
      </c>
      <c r="H28" s="37">
        <f>E28*F28</f>
        <v>0</v>
      </c>
      <c r="I28" s="38">
        <f t="shared" si="5"/>
        <v>0</v>
      </c>
      <c r="K28" s="76"/>
      <c r="L28" s="5"/>
      <c r="M28" s="5"/>
      <c r="N28" s="5"/>
      <c r="O28" s="5"/>
      <c r="P28" s="5"/>
      <c r="Q28" s="5"/>
      <c r="R28" s="5"/>
      <c r="S28" s="3"/>
      <c r="T28" s="5"/>
      <c r="U28" s="3"/>
      <c r="V28" s="5"/>
      <c r="W28" s="5"/>
      <c r="X28" s="5"/>
      <c r="Y28" s="5"/>
      <c r="Z28" s="5"/>
      <c r="AA28" s="5"/>
      <c r="AB28" s="5"/>
      <c r="AC28" s="5"/>
      <c r="AD28" s="5"/>
      <c r="AE28" s="6"/>
      <c r="AF28" s="1"/>
      <c r="AG28"/>
      <c r="AH28"/>
      <c r="AI28"/>
      <c r="AJ28"/>
    </row>
    <row r="29" spans="1:36" s="4" customFormat="1" x14ac:dyDescent="0.25">
      <c r="A29" s="2"/>
      <c r="B29" s="71" t="s">
        <v>86</v>
      </c>
      <c r="C29" s="36" t="s">
        <v>66</v>
      </c>
      <c r="D29" s="291">
        <v>100</v>
      </c>
      <c r="E29" s="36">
        <f>E14*3</f>
        <v>19560</v>
      </c>
      <c r="F29" s="112">
        <v>0</v>
      </c>
      <c r="G29" s="112">
        <f t="shared" si="6"/>
        <v>0</v>
      </c>
      <c r="H29" s="37">
        <f>E29*F29</f>
        <v>0</v>
      </c>
      <c r="I29" s="38">
        <f>E29*G29</f>
        <v>0</v>
      </c>
      <c r="K29" s="76"/>
      <c r="L29" s="5"/>
      <c r="M29" s="5"/>
      <c r="N29" s="5"/>
      <c r="O29" s="5"/>
      <c r="P29" s="5"/>
      <c r="Q29" s="5"/>
      <c r="R29" s="5"/>
      <c r="S29" s="3"/>
      <c r="T29" s="5"/>
      <c r="U29" s="3"/>
      <c r="V29" s="5"/>
      <c r="W29" s="5"/>
      <c r="X29" s="5"/>
      <c r="Y29" s="5"/>
      <c r="Z29" s="5"/>
      <c r="AA29" s="5"/>
      <c r="AB29" s="5"/>
      <c r="AC29" s="5"/>
      <c r="AD29" s="5"/>
      <c r="AE29" s="6"/>
      <c r="AF29" s="1"/>
      <c r="AG29"/>
      <c r="AH29"/>
      <c r="AI29"/>
      <c r="AJ29"/>
    </row>
    <row r="30" spans="1:36" s="4" customFormat="1" ht="15" customHeight="1" x14ac:dyDescent="0.25">
      <c r="A30" s="2"/>
      <c r="B30" s="270" t="s">
        <v>87</v>
      </c>
      <c r="C30" s="47"/>
      <c r="D30" s="48"/>
      <c r="E30" s="49"/>
      <c r="F30" s="50"/>
      <c r="G30" s="50"/>
      <c r="H30" s="50">
        <f>SUM(H13:H29)</f>
        <v>1153205</v>
      </c>
      <c r="I30" s="271">
        <f>H30*1.0923</f>
        <v>1259645.8215000001</v>
      </c>
      <c r="K30" s="76"/>
      <c r="L30" s="5"/>
      <c r="M30" s="5"/>
      <c r="N30" s="5"/>
      <c r="O30" s="5"/>
      <c r="P30" s="5"/>
      <c r="Q30" s="5"/>
      <c r="R30" s="5"/>
      <c r="S30" s="3"/>
      <c r="T30" s="5"/>
      <c r="U30" s="3"/>
      <c r="V30" s="5"/>
      <c r="W30" s="5"/>
      <c r="X30" s="5"/>
      <c r="Y30" s="5"/>
      <c r="Z30" s="5"/>
      <c r="AA30" s="5"/>
      <c r="AB30" s="5"/>
      <c r="AC30" s="5"/>
      <c r="AD30" s="5"/>
      <c r="AE30" s="6"/>
      <c r="AF30" s="1"/>
      <c r="AG30"/>
      <c r="AH30"/>
      <c r="AI30"/>
      <c r="AJ30"/>
    </row>
    <row r="31" spans="1:36" s="4" customFormat="1" ht="15" customHeight="1" x14ac:dyDescent="0.25">
      <c r="A31" s="2"/>
      <c r="B31" s="41"/>
      <c r="C31" s="25"/>
      <c r="D31" s="26"/>
      <c r="E31" s="27"/>
      <c r="F31" s="28"/>
      <c r="G31" s="28"/>
      <c r="H31" s="28"/>
      <c r="I31" s="40"/>
      <c r="K31" s="76"/>
      <c r="L31" s="5"/>
      <c r="M31" s="5"/>
      <c r="N31" s="5"/>
      <c r="O31" s="5"/>
      <c r="P31" s="5"/>
      <c r="Q31" s="5"/>
      <c r="R31" s="5"/>
      <c r="S31" s="3"/>
      <c r="T31" s="5"/>
      <c r="U31" s="3"/>
      <c r="V31" s="5"/>
      <c r="W31" s="5"/>
      <c r="X31" s="5"/>
      <c r="Y31" s="5"/>
      <c r="Z31" s="5"/>
      <c r="AA31" s="5"/>
      <c r="AB31" s="5"/>
      <c r="AC31" s="5"/>
      <c r="AD31" s="5"/>
      <c r="AE31" s="6"/>
      <c r="AF31" s="1"/>
      <c r="AG31"/>
      <c r="AH31"/>
      <c r="AI31"/>
      <c r="AJ31"/>
    </row>
    <row r="32" spans="1:36" s="4" customFormat="1" ht="15" customHeight="1" x14ac:dyDescent="0.25">
      <c r="A32" s="2"/>
      <c r="B32" s="282" t="s">
        <v>88</v>
      </c>
      <c r="C32" s="283" t="s">
        <v>89</v>
      </c>
      <c r="D32" s="254"/>
      <c r="E32" s="254"/>
      <c r="F32" s="51">
        <v>0.1</v>
      </c>
      <c r="G32" s="51"/>
      <c r="H32" s="170">
        <f>H30*F32</f>
        <v>115320.5</v>
      </c>
      <c r="I32" s="177">
        <f t="shared" ref="I32:I37" si="7">H32*1.0923</f>
        <v>125964.58215</v>
      </c>
      <c r="K32" s="76"/>
      <c r="L32" s="5"/>
      <c r="M32" s="5"/>
      <c r="N32" s="5"/>
      <c r="O32" s="5"/>
      <c r="P32" s="5"/>
      <c r="Q32" s="5"/>
      <c r="R32" s="5"/>
      <c r="S32" s="3"/>
      <c r="T32" s="5"/>
      <c r="U32" s="3"/>
      <c r="V32" s="5"/>
      <c r="W32" s="5"/>
      <c r="X32" s="5"/>
      <c r="Y32" s="5"/>
      <c r="Z32" s="5"/>
      <c r="AA32" s="5"/>
      <c r="AB32" s="5"/>
      <c r="AC32" s="5"/>
      <c r="AD32" s="5"/>
      <c r="AE32" s="6"/>
      <c r="AF32" s="1"/>
      <c r="AG32"/>
      <c r="AH32"/>
      <c r="AI32"/>
      <c r="AJ32"/>
    </row>
    <row r="33" spans="1:36" s="4" customFormat="1" ht="15" customHeight="1" x14ac:dyDescent="0.25">
      <c r="A33" s="2"/>
      <c r="B33" s="41" t="s">
        <v>90</v>
      </c>
      <c r="C33" s="25"/>
      <c r="D33" s="66"/>
      <c r="E33" s="67"/>
      <c r="F33" s="29"/>
      <c r="G33" s="29"/>
      <c r="H33" s="28">
        <f>SUM(H30:H32)</f>
        <v>1268525.5</v>
      </c>
      <c r="I33" s="40">
        <f t="shared" si="7"/>
        <v>1385610.40365</v>
      </c>
      <c r="K33" s="76"/>
      <c r="L33" s="5"/>
      <c r="M33" s="5"/>
      <c r="N33" s="5"/>
      <c r="O33" s="5"/>
      <c r="P33" s="5"/>
      <c r="Q33" s="5"/>
      <c r="R33" s="5"/>
      <c r="S33" s="3"/>
      <c r="T33" s="5"/>
      <c r="U33" s="3"/>
      <c r="V33" s="5"/>
      <c r="W33" s="5"/>
      <c r="X33" s="5"/>
      <c r="Y33" s="5"/>
      <c r="Z33" s="5"/>
      <c r="AA33" s="5"/>
      <c r="AB33" s="5"/>
      <c r="AC33" s="5"/>
      <c r="AD33" s="5"/>
      <c r="AE33" s="6"/>
      <c r="AF33" s="1"/>
      <c r="AG33"/>
      <c r="AH33"/>
      <c r="AI33"/>
      <c r="AJ33"/>
    </row>
    <row r="34" spans="1:36" s="4" customFormat="1" ht="15" customHeight="1" x14ac:dyDescent="0.25">
      <c r="A34" s="2"/>
      <c r="B34" s="284" t="s">
        <v>91</v>
      </c>
      <c r="C34" s="285" t="s">
        <v>89</v>
      </c>
      <c r="D34" s="255"/>
      <c r="E34" s="255"/>
      <c r="F34" s="53">
        <v>0.1</v>
      </c>
      <c r="G34" s="53"/>
      <c r="H34" s="172">
        <f>H33*F34</f>
        <v>126852.55</v>
      </c>
      <c r="I34" s="286">
        <f t="shared" si="7"/>
        <v>138561.04036500002</v>
      </c>
      <c r="K34" s="76"/>
      <c r="L34" s="5"/>
      <c r="M34" s="5"/>
      <c r="N34" s="5"/>
      <c r="O34" s="5"/>
      <c r="P34" s="5"/>
      <c r="Q34" s="5"/>
      <c r="R34" s="5"/>
      <c r="S34" s="3"/>
      <c r="T34" s="5"/>
      <c r="U34" s="3"/>
      <c r="V34" s="5"/>
      <c r="W34" s="5"/>
      <c r="X34" s="5"/>
      <c r="Y34" s="5"/>
      <c r="Z34" s="5"/>
      <c r="AA34" s="5"/>
      <c r="AB34" s="5"/>
      <c r="AC34" s="5"/>
      <c r="AD34" s="5"/>
      <c r="AE34" s="6"/>
      <c r="AF34" s="1"/>
      <c r="AG34"/>
      <c r="AH34"/>
      <c r="AI34"/>
      <c r="AJ34"/>
    </row>
    <row r="35" spans="1:36" s="4" customFormat="1" ht="15" customHeight="1" thickBot="1" x14ac:dyDescent="0.3">
      <c r="A35" s="2"/>
      <c r="B35" s="54" t="s">
        <v>87</v>
      </c>
      <c r="C35" s="55"/>
      <c r="D35" s="68"/>
      <c r="E35" s="69"/>
      <c r="F35" s="56"/>
      <c r="G35" s="56"/>
      <c r="H35" s="173">
        <f>SUM(H33:H34)</f>
        <v>1395378.05</v>
      </c>
      <c r="I35" s="178">
        <f t="shared" si="7"/>
        <v>1524171.444015</v>
      </c>
      <c r="K35" s="76"/>
      <c r="L35" s="5"/>
      <c r="M35" s="5"/>
      <c r="N35" s="5"/>
      <c r="O35" s="5"/>
      <c r="P35" s="5"/>
      <c r="Q35" s="5"/>
      <c r="R35" s="5"/>
      <c r="S35" s="3"/>
      <c r="T35" s="5"/>
      <c r="U35" s="3"/>
      <c r="V35" s="5"/>
      <c r="W35" s="5"/>
      <c r="X35" s="5"/>
      <c r="Y35" s="5"/>
      <c r="Z35" s="5"/>
      <c r="AA35" s="5"/>
      <c r="AB35" s="5"/>
      <c r="AC35" s="5"/>
      <c r="AD35" s="5"/>
      <c r="AE35" s="6"/>
      <c r="AF35" s="1"/>
      <c r="AG35"/>
      <c r="AH35"/>
      <c r="AI35"/>
      <c r="AJ35"/>
    </row>
    <row r="36" spans="1:36" s="4" customFormat="1" ht="15" customHeight="1" thickTop="1" x14ac:dyDescent="0.25">
      <c r="A36" s="2"/>
      <c r="B36" s="282" t="s">
        <v>92</v>
      </c>
      <c r="C36" s="287" t="s">
        <v>93</v>
      </c>
      <c r="D36" s="252"/>
      <c r="E36" s="252"/>
      <c r="F36" s="51">
        <v>0.25</v>
      </c>
      <c r="G36" s="51"/>
      <c r="H36" s="171">
        <f>H35*F36</f>
        <v>348844.51250000001</v>
      </c>
      <c r="I36" s="179">
        <f t="shared" si="7"/>
        <v>381042.86100375</v>
      </c>
      <c r="K36" s="5"/>
      <c r="L36" s="5"/>
      <c r="M36" s="5"/>
      <c r="N36" s="5"/>
      <c r="O36" s="5"/>
      <c r="P36" s="5"/>
      <c r="Q36" s="5"/>
      <c r="R36" s="5"/>
      <c r="S36" s="3"/>
      <c r="T36" s="5"/>
      <c r="U36" s="3"/>
      <c r="V36" s="5"/>
      <c r="W36" s="5"/>
      <c r="X36" s="5"/>
      <c r="Y36" s="5"/>
      <c r="Z36" s="5"/>
      <c r="AA36" s="5"/>
      <c r="AB36" s="5"/>
      <c r="AC36" s="5"/>
      <c r="AD36" s="5"/>
      <c r="AE36" s="6"/>
      <c r="AF36" s="1"/>
      <c r="AG36"/>
      <c r="AH36"/>
      <c r="AI36"/>
      <c r="AJ36"/>
    </row>
    <row r="37" spans="1:36" s="4" customFormat="1" ht="15" customHeight="1" thickBot="1" x14ac:dyDescent="0.3">
      <c r="A37" s="2"/>
      <c r="B37" s="288" t="s">
        <v>94</v>
      </c>
      <c r="C37" s="289" t="s">
        <v>95</v>
      </c>
      <c r="D37" s="253"/>
      <c r="E37" s="253"/>
      <c r="F37" s="52">
        <v>0.05</v>
      </c>
      <c r="G37" s="52"/>
      <c r="H37" s="174">
        <f>H36*F37</f>
        <v>17442.225625000003</v>
      </c>
      <c r="I37" s="290">
        <f t="shared" si="7"/>
        <v>19052.143050187504</v>
      </c>
      <c r="K37" s="5"/>
      <c r="L37" s="5"/>
      <c r="M37" s="5"/>
      <c r="N37" s="5"/>
      <c r="O37" s="5"/>
      <c r="P37" s="5"/>
      <c r="Q37" s="5"/>
      <c r="R37" s="5"/>
      <c r="S37" s="3"/>
      <c r="T37" s="5"/>
      <c r="U37" s="3"/>
      <c r="V37" s="5"/>
      <c r="W37" s="5"/>
      <c r="X37" s="5"/>
      <c r="Y37" s="5"/>
      <c r="Z37" s="5"/>
      <c r="AA37" s="5"/>
      <c r="AB37" s="5"/>
      <c r="AC37" s="5"/>
      <c r="AD37" s="5"/>
      <c r="AE37" s="6"/>
      <c r="AF37" s="1"/>
      <c r="AG37"/>
      <c r="AH37"/>
      <c r="AI37"/>
      <c r="AJ37"/>
    </row>
    <row r="38" spans="1:36" s="4" customFormat="1" ht="15" customHeight="1" thickTop="1" x14ac:dyDescent="0.25">
      <c r="A38" s="2"/>
      <c r="B38" s="39"/>
      <c r="C38" s="22"/>
      <c r="D38" s="17"/>
      <c r="F38" s="7"/>
      <c r="G38" s="7"/>
      <c r="H38" s="7"/>
      <c r="I38" s="40"/>
      <c r="K38" s="5"/>
      <c r="L38" s="5"/>
      <c r="M38" s="5"/>
      <c r="N38" s="5"/>
      <c r="O38" s="5"/>
      <c r="P38" s="5"/>
      <c r="Q38" s="5"/>
      <c r="R38" s="5"/>
      <c r="S38" s="3"/>
      <c r="T38" s="5"/>
      <c r="U38" s="3"/>
      <c r="V38" s="5"/>
      <c r="W38" s="5"/>
      <c r="X38" s="5"/>
      <c r="Y38" s="5"/>
      <c r="Z38" s="5"/>
      <c r="AA38" s="5"/>
      <c r="AB38" s="5"/>
      <c r="AC38" s="5"/>
      <c r="AD38" s="5"/>
      <c r="AE38" s="6"/>
      <c r="AF38" s="1"/>
      <c r="AG38"/>
      <c r="AH38"/>
      <c r="AI38"/>
      <c r="AJ38"/>
    </row>
    <row r="39" spans="1:36" s="4" customFormat="1" ht="15" customHeight="1" thickBot="1" x14ac:dyDescent="0.3">
      <c r="A39" s="2"/>
      <c r="B39" s="43" t="s">
        <v>96</v>
      </c>
      <c r="C39" s="44"/>
      <c r="D39" s="45"/>
      <c r="E39" s="13"/>
      <c r="F39" s="46"/>
      <c r="G39" s="46"/>
      <c r="H39" s="175">
        <f>SUM(H35,H36,H37)</f>
        <v>1761664.788125</v>
      </c>
      <c r="I39" s="110">
        <f>H39*1.0923</f>
        <v>1924266.4480689375</v>
      </c>
      <c r="K39" s="5"/>
      <c r="L39" s="5"/>
      <c r="M39" s="5"/>
      <c r="N39" s="5"/>
      <c r="O39" s="5"/>
      <c r="P39" s="5"/>
      <c r="Q39" s="5"/>
      <c r="R39" s="5"/>
      <c r="S39" s="3"/>
      <c r="T39" s="5"/>
      <c r="U39" s="3"/>
      <c r="V39" s="5"/>
      <c r="W39" s="5"/>
      <c r="X39" s="5"/>
      <c r="Y39" s="5"/>
      <c r="Z39" s="5"/>
      <c r="AA39" s="5"/>
      <c r="AB39" s="5"/>
      <c r="AC39" s="5"/>
      <c r="AD39" s="5"/>
      <c r="AE39" s="6"/>
      <c r="AF39" s="1"/>
      <c r="AG39"/>
      <c r="AH39"/>
      <c r="AI39"/>
      <c r="AJ39"/>
    </row>
    <row r="40" spans="1:36" x14ac:dyDescent="0.25">
      <c r="I40" s="176"/>
    </row>
  </sheetData>
  <mergeCells count="8">
    <mergeCell ref="A1:J1"/>
    <mergeCell ref="A2:J2"/>
    <mergeCell ref="C36:E36"/>
    <mergeCell ref="C37:E37"/>
    <mergeCell ref="C32:E32"/>
    <mergeCell ref="C34:E34"/>
    <mergeCell ref="B4:I4"/>
    <mergeCell ref="B5:I5"/>
  </mergeCells>
  <phoneticPr fontId="13" type="noConversion"/>
  <dataValidations count="14">
    <dataValidation allowBlank="1" showInputMessage="1" showErrorMessage="1" promptTitle="Step 1" prompt="Provide an project description._x000a_" sqref="B5" xr:uid="{3248945A-F028-4926-BF3D-4DB14A028E02}"/>
    <dataValidation allowBlank="1" showInputMessage="1" showErrorMessage="1" promptTitle="Step 2" prompt="Enter values with for Project Length in miles, 'Linear feet is auto-calculated by multiplying MILE LENGTH by 5280.  All subsequent fields use the linear footage to calculate quantities._x000a_" sqref="E8" xr:uid="{8AF2BD53-D90F-4F7F-9FCD-18A91A1FE32F}"/>
    <dataValidation allowBlank="1" showInputMessage="1" showErrorMessage="1" promptTitle="Step 3" prompt="Enter the number of Intersections._x000a_" sqref="E9" xr:uid="{827A7DFA-272C-4D81-9F07-1F45ED664788}"/>
    <dataValidation allowBlank="1" showInputMessage="1" showErrorMessage="1" promptTitle="Step 4" prompt="Enter the average intersection width in feet. Standard intersection is used to calculate pavement marking gaps and sign quantities in fields below." sqref="E10" xr:uid="{C17D0882-1EEF-4E2D-A240-B50336F3DC89}"/>
    <dataValidation allowBlank="1" showInputMessage="1" showErrorMessage="1" prompt="All pavement marking fields are automatically calculated based on project length, considering the number of intersections and average intersection width._x000a_" sqref="E13" xr:uid="{6500EB8F-D84F-4642-8471-2BA282D30F50}"/>
    <dataValidation allowBlank="1" showInputMessage="1" showErrorMessage="1" prompt="Subtotal of item quantity multiplied by the unit cost.  All unit costs are averaged from recent construction projects._x000a_" sqref="H13:I13" xr:uid="{597B744D-6EAA-4505-8204-A76C3B1B5FFD}"/>
    <dataValidation allowBlank="1" showInputMessage="1" showErrorMessage="1" prompt="Bicycle Lane symbols and sharrows are calculated placement every 300 feet and on the far side of each intersection._x000a_" sqref="E14" xr:uid="{56F2FBE5-5DB0-4574-8F6C-C18DD4B694A4}"/>
    <dataValidation allowBlank="1" showInputMessage="1" showErrorMessage="1" prompt="All longitudinal pavement markings are calculated by project length, but does not account for markings through intersections. For this facility, no yellow pavement markings are included, but are auto calculated on appropriate facilities. _x000a_" sqref="E16" xr:uid="{DB80CC11-7BD2-4F78-9338-850BE8BCDCF0}"/>
    <dataValidation allowBlank="1" showInputMessage="1" showErrorMessage="1" promptTitle="All signs are paid for by sq. ft" prompt="The sign square footage is provided and multiplied by project requirements.  Sign quantity are calculated based on project length, required locations per intersections and project termini. Additional regulatory, advisory and wayfinding signs not included." sqref="H19:I19" xr:uid="{739CD52A-8D5F-4F85-8627-92E3DD25583F}"/>
    <dataValidation allowBlank="1" showInputMessage="1" showErrorMessage="1" promptTitle="Step 5" prompt="Select separation and traffic calming features by adding cost to the &quot;Active Unit Cost&quot; field.  The quantity for separation is automatically calculated based on project length, number of intersections and intersection width.  _x000a_" sqref="F26:G26" xr:uid="{5FBECB24-EDF3-4D43-82D1-3518F96B8F29}"/>
    <dataValidation allowBlank="1" showInputMessage="1" showErrorMessage="1" promptTitle="Passive Unit Cost" prompt="The &quot;Passive Unit Cost&quot; is a locked cell which states the current unit price for each features.  In the &quot;Active Unit Cost&quot; cell, type &quot;=&quot; and select the same &quot;Passive Unit Cost&quot; of the same feature.  The subtotal will automatically update. _x000a_" sqref="D26" xr:uid="{8DB0C7BA-C9F4-4794-BC6B-F70FD3A19C8D}"/>
    <dataValidation allowBlank="1" showInputMessage="1" showErrorMessage="1" promptTitle="Mobilization" prompt="With the approximate construction costs calculated, mobilization is added as 10% of construction costs.  With the construction total established, the design costs are determined based on a percentage of the project. _x000a_" sqref="H32:I32" xr:uid="{DD5208F2-92AE-4D1B-B6C4-ED1B3D947B6A}"/>
    <dataValidation allowBlank="1" showInputMessage="1" showErrorMessage="1" promptTitle="Design and Permitting" prompt="Design and permitting costs are calculated at 25% of construction costs._x000a_Preliminary site investigation is calculated at 5% of design costs._x000a_" sqref="H36:I36" xr:uid="{EA0FDB7B-840F-431D-BD06-A1139BE53458}"/>
    <dataValidation allowBlank="1" showInputMessage="1" showErrorMessage="1" prompt="The total project cost is provided for the planning, design and construction of the specific bicycle project.  _x000a_" sqref="H39:I39" xr:uid="{E3F21E29-F8D6-4AD3-B666-BAFA1A5BAEAD}"/>
  </dataValidations>
  <pageMargins left="0.25" right="0.25" top="0.75" bottom="0.75" header="0.3" footer="0.3"/>
  <pageSetup scale="81" fitToHeight="0" orientation="portrait" r:id="rId1"/>
  <headerFooter>
    <oddHeader>&amp;A</oddHeader>
    <oddFooter>Page &amp;P of &amp;N</oddFooter>
  </headerFooter>
  <rowBreaks count="1" manualBreakCount="1">
    <brk id="24" max="7" man="1"/>
  </rowBreaks>
  <ignoredErrors>
    <ignoredError sqref="H3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791CD-AB72-4340-B2D2-3EB0A02DB6C3}">
  <sheetPr>
    <pageSetUpPr fitToPage="1"/>
  </sheetPr>
  <dimension ref="A1:AJ31"/>
  <sheetViews>
    <sheetView zoomScaleNormal="100" workbookViewId="0">
      <selection activeCell="E15" sqref="E15"/>
    </sheetView>
  </sheetViews>
  <sheetFormatPr defaultColWidth="9.140625" defaultRowHeight="15" x14ac:dyDescent="0.25"/>
  <cols>
    <col min="1" max="1" width="8.5703125" style="2" customWidth="1"/>
    <col min="2" max="2" width="26" style="1" customWidth="1"/>
    <col min="3" max="3" width="11.85546875" style="4" customWidth="1"/>
    <col min="4" max="4" width="8.5703125" style="4" customWidth="1"/>
    <col min="5" max="5" width="12.42578125" style="3" customWidth="1"/>
    <col min="6" max="6" width="12" style="3" hidden="1" customWidth="1"/>
    <col min="7" max="7" width="12" style="3" customWidth="1"/>
    <col min="8" max="8" width="11.140625" style="3" hidden="1" customWidth="1"/>
    <col min="9" max="9" width="11.140625" style="3" customWidth="1"/>
    <col min="10" max="10" width="13.85546875" style="4" customWidth="1"/>
    <col min="11" max="11" width="25.42578125" style="5" customWidth="1"/>
    <col min="12" max="12" width="12.570312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57.95" customHeight="1" x14ac:dyDescent="0.25">
      <c r="A2" s="10"/>
      <c r="B2" s="256" t="s">
        <v>97</v>
      </c>
      <c r="C2" s="257"/>
      <c r="D2" s="257"/>
      <c r="E2" s="257"/>
      <c r="F2" s="257"/>
      <c r="G2" s="257"/>
      <c r="H2" s="257"/>
      <c r="I2" s="258"/>
      <c r="J2" s="10"/>
      <c r="K2" s="131" t="s">
        <v>98</v>
      </c>
      <c r="L2" s="100"/>
      <c r="M2" s="100"/>
      <c r="N2" s="100"/>
      <c r="O2" s="100"/>
      <c r="P2" s="100"/>
      <c r="Q2" s="100"/>
      <c r="R2" s="100"/>
      <c r="S2" s="100"/>
    </row>
    <row r="3" spans="1:36" s="5" customFormat="1" ht="15.75" customHeight="1" thickBot="1" x14ac:dyDescent="0.3">
      <c r="A3" s="10"/>
      <c r="B3" s="262" t="s">
        <v>99</v>
      </c>
      <c r="C3" s="263"/>
      <c r="D3" s="263"/>
      <c r="E3" s="263"/>
      <c r="F3" s="263"/>
      <c r="G3" s="263"/>
      <c r="H3" s="263"/>
      <c r="I3" s="264"/>
      <c r="J3" s="10"/>
      <c r="K3" s="100"/>
      <c r="L3" s="100"/>
      <c r="M3" s="100"/>
      <c r="N3" s="100"/>
      <c r="O3" s="100"/>
      <c r="P3" s="100"/>
      <c r="Q3" s="100"/>
      <c r="R3" s="100"/>
      <c r="S3" s="100"/>
      <c r="U3" s="3"/>
      <c r="AE3" s="6"/>
      <c r="AF3" s="1"/>
      <c r="AG3"/>
      <c r="AH3"/>
      <c r="AI3"/>
      <c r="AJ3"/>
    </row>
    <row r="4" spans="1:36" s="5" customFormat="1" x14ac:dyDescent="0.25">
      <c r="A4" s="10"/>
      <c r="B4" s="272" t="s">
        <v>48</v>
      </c>
      <c r="C4" s="60"/>
      <c r="D4" s="60"/>
      <c r="E4" s="293" t="s">
        <v>49</v>
      </c>
      <c r="F4" s="30"/>
      <c r="G4" s="30"/>
      <c r="H4" s="138"/>
      <c r="I4" s="181"/>
      <c r="J4" s="10"/>
      <c r="K4" s="10"/>
      <c r="S4" s="3"/>
      <c r="U4" s="3"/>
      <c r="AE4" s="6"/>
      <c r="AF4" s="1"/>
      <c r="AG4"/>
      <c r="AH4"/>
      <c r="AI4"/>
      <c r="AJ4"/>
    </row>
    <row r="5" spans="1:36" s="5" customFormat="1" ht="15.75" x14ac:dyDescent="0.25">
      <c r="A5" s="10"/>
      <c r="B5" s="31" t="s">
        <v>50</v>
      </c>
      <c r="C5" s="21" t="s">
        <v>51</v>
      </c>
      <c r="E5" s="24">
        <f>E6*5280</f>
        <v>7920</v>
      </c>
      <c r="F5" s="21"/>
      <c r="G5" s="21"/>
      <c r="H5" s="19"/>
      <c r="I5" s="32"/>
      <c r="J5" s="10"/>
      <c r="K5" s="10"/>
      <c r="S5" s="3"/>
      <c r="U5" s="3"/>
      <c r="AE5" s="6"/>
      <c r="AF5" s="1"/>
      <c r="AG5"/>
      <c r="AH5"/>
      <c r="AI5"/>
      <c r="AJ5"/>
    </row>
    <row r="6" spans="1:36" s="5" customFormat="1" ht="15.75" x14ac:dyDescent="0.25">
      <c r="A6" s="10"/>
      <c r="B6" s="31" t="s">
        <v>50</v>
      </c>
      <c r="C6" s="21" t="s">
        <v>52</v>
      </c>
      <c r="E6" s="132">
        <v>1.5</v>
      </c>
      <c r="F6" s="21"/>
      <c r="G6" s="21"/>
      <c r="H6" s="19"/>
      <c r="I6" s="32"/>
      <c r="J6" s="10"/>
      <c r="K6" s="10"/>
      <c r="S6" s="3"/>
      <c r="U6" s="3"/>
      <c r="AE6" s="6"/>
      <c r="AF6" s="1"/>
      <c r="AG6"/>
      <c r="AH6"/>
      <c r="AI6"/>
      <c r="AJ6"/>
    </row>
    <row r="7" spans="1:36" s="5" customFormat="1" ht="15.75" x14ac:dyDescent="0.25">
      <c r="A7" s="10"/>
      <c r="B7" s="33" t="s">
        <v>53</v>
      </c>
      <c r="C7" s="2" t="s">
        <v>54</v>
      </c>
      <c r="E7" s="133">
        <v>12</v>
      </c>
      <c r="F7" s="7"/>
      <c r="G7" s="7"/>
      <c r="H7" s="19"/>
      <c r="I7" s="32"/>
      <c r="J7" s="10"/>
      <c r="K7" s="10"/>
      <c r="S7" s="3"/>
      <c r="U7" s="3"/>
      <c r="AE7" s="6"/>
      <c r="AF7" s="1"/>
      <c r="AG7"/>
      <c r="AH7"/>
      <c r="AI7"/>
      <c r="AJ7"/>
    </row>
    <row r="8" spans="1:36" s="5" customFormat="1" ht="15.75" x14ac:dyDescent="0.25">
      <c r="A8" s="10"/>
      <c r="B8" s="34" t="s">
        <v>55</v>
      </c>
      <c r="C8" s="64" t="s">
        <v>51</v>
      </c>
      <c r="E8" s="133">
        <v>40</v>
      </c>
      <c r="F8" s="7"/>
      <c r="G8" s="7"/>
      <c r="H8" s="19"/>
      <c r="I8" s="32"/>
      <c r="J8" s="10"/>
      <c r="K8" s="10"/>
      <c r="S8" s="3"/>
      <c r="U8" s="3"/>
      <c r="AE8" s="6"/>
      <c r="AF8" s="1"/>
      <c r="AG8"/>
      <c r="AH8"/>
      <c r="AI8"/>
      <c r="AJ8"/>
    </row>
    <row r="9" spans="1:36" s="5" customFormat="1" ht="15.75" x14ac:dyDescent="0.25">
      <c r="A9" s="10"/>
      <c r="B9" s="34"/>
      <c r="C9" s="64"/>
      <c r="E9" s="24"/>
      <c r="F9" s="37"/>
      <c r="G9" s="37"/>
      <c r="H9" s="19"/>
      <c r="I9" s="32"/>
      <c r="J9" s="10"/>
      <c r="K9" s="10"/>
      <c r="S9" s="3"/>
      <c r="U9" s="3"/>
      <c r="AE9" s="6"/>
      <c r="AF9" s="1"/>
      <c r="AG9"/>
      <c r="AH9"/>
      <c r="AI9"/>
      <c r="AJ9"/>
    </row>
    <row r="10" spans="1:36" s="5" customFormat="1" ht="30" x14ac:dyDescent="0.25">
      <c r="A10" s="10"/>
      <c r="B10" s="274" t="s">
        <v>56</v>
      </c>
      <c r="C10" s="65"/>
      <c r="D10" s="70"/>
      <c r="E10" s="278" t="s">
        <v>49</v>
      </c>
      <c r="F10" s="20" t="s">
        <v>57</v>
      </c>
      <c r="G10" s="276" t="s">
        <v>58</v>
      </c>
      <c r="H10" s="20" t="s">
        <v>59</v>
      </c>
      <c r="I10" s="281" t="s">
        <v>60</v>
      </c>
      <c r="J10" s="10"/>
      <c r="K10" s="10"/>
      <c r="S10" s="3"/>
      <c r="U10" s="3"/>
      <c r="AE10" s="6"/>
      <c r="AF10" s="1"/>
      <c r="AG10"/>
      <c r="AH10"/>
      <c r="AI10"/>
      <c r="AJ10"/>
    </row>
    <row r="11" spans="1:36" s="5" customFormat="1" ht="15.75" x14ac:dyDescent="0.25">
      <c r="A11" s="10"/>
      <c r="B11" s="34" t="s">
        <v>100</v>
      </c>
      <c r="C11" s="64" t="s">
        <v>54</v>
      </c>
      <c r="E11" s="24">
        <f>E5/300+E7</f>
        <v>38.4</v>
      </c>
      <c r="F11" s="37">
        <v>500</v>
      </c>
      <c r="G11" s="37">
        <f>F11*1.0923</f>
        <v>546.15</v>
      </c>
      <c r="H11" s="19">
        <f>E11*F11</f>
        <v>19200</v>
      </c>
      <c r="I11" s="32">
        <f>H11*1.0923</f>
        <v>20972.16</v>
      </c>
      <c r="J11" s="10"/>
      <c r="K11" s="10"/>
      <c r="S11" s="3"/>
      <c r="U11" s="3"/>
      <c r="AE11" s="6"/>
      <c r="AF11" s="1"/>
      <c r="AG11"/>
      <c r="AH11"/>
      <c r="AI11"/>
      <c r="AJ11"/>
    </row>
    <row r="12" spans="1:36" s="5" customFormat="1" ht="30" x14ac:dyDescent="0.25">
      <c r="A12" s="10"/>
      <c r="B12" s="61" t="s">
        <v>62</v>
      </c>
      <c r="C12" s="64" t="s">
        <v>51</v>
      </c>
      <c r="E12" s="118">
        <v>0</v>
      </c>
      <c r="F12" s="37">
        <v>20</v>
      </c>
      <c r="G12" s="37">
        <f t="shared" ref="G12:G13" si="0">F12*1.0923</f>
        <v>21.846</v>
      </c>
      <c r="H12" s="19">
        <f>E12*F12</f>
        <v>0</v>
      </c>
      <c r="I12" s="32">
        <f t="shared" ref="I12:I13" si="1">H12*1.0923</f>
        <v>0</v>
      </c>
      <c r="J12" s="10"/>
      <c r="K12" s="10"/>
      <c r="S12" s="3"/>
      <c r="U12" s="3"/>
      <c r="AE12" s="6"/>
      <c r="AF12" s="1"/>
      <c r="AG12"/>
      <c r="AH12"/>
      <c r="AI12"/>
      <c r="AJ12"/>
    </row>
    <row r="13" spans="1:36" s="5" customFormat="1" ht="30" x14ac:dyDescent="0.25">
      <c r="A13" s="10"/>
      <c r="B13" s="61" t="s">
        <v>64</v>
      </c>
      <c r="C13" s="64" t="s">
        <v>51</v>
      </c>
      <c r="D13" s="24"/>
      <c r="E13" s="118">
        <v>0</v>
      </c>
      <c r="F13" s="37">
        <v>20</v>
      </c>
      <c r="G13" s="37">
        <f t="shared" si="0"/>
        <v>21.846</v>
      </c>
      <c r="H13" s="19">
        <f>D13*F13</f>
        <v>0</v>
      </c>
      <c r="I13" s="32">
        <f t="shared" si="1"/>
        <v>0</v>
      </c>
      <c r="J13" s="10"/>
      <c r="K13" s="10"/>
      <c r="S13" s="3"/>
      <c r="U13" s="3"/>
      <c r="AE13" s="6"/>
      <c r="AF13" s="1"/>
      <c r="AG13"/>
      <c r="AH13"/>
      <c r="AI13"/>
      <c r="AJ13"/>
    </row>
    <row r="14" spans="1:36" s="5" customFormat="1" ht="15.75" x14ac:dyDescent="0.25">
      <c r="A14" s="10"/>
      <c r="B14" s="61"/>
      <c r="C14" s="64"/>
      <c r="D14" s="24"/>
      <c r="E14" s="36"/>
      <c r="F14" s="37"/>
      <c r="G14" s="37"/>
      <c r="H14" s="19"/>
      <c r="I14" s="32"/>
      <c r="J14" s="10"/>
      <c r="K14" s="10"/>
      <c r="S14" s="3"/>
      <c r="U14" s="3"/>
      <c r="AE14" s="6"/>
      <c r="AF14" s="1"/>
      <c r="AG14"/>
      <c r="AH14"/>
      <c r="AI14"/>
      <c r="AJ14"/>
    </row>
    <row r="15" spans="1:36" ht="30" x14ac:dyDescent="0.25">
      <c r="B15" s="274" t="s">
        <v>67</v>
      </c>
      <c r="C15" s="278" t="s">
        <v>68</v>
      </c>
      <c r="D15" s="279" t="s">
        <v>69</v>
      </c>
      <c r="E15" s="280" t="s">
        <v>49</v>
      </c>
      <c r="F15" s="20" t="s">
        <v>57</v>
      </c>
      <c r="G15" s="276" t="s">
        <v>58</v>
      </c>
      <c r="H15" s="20" t="s">
        <v>59</v>
      </c>
      <c r="I15" s="281" t="s">
        <v>60</v>
      </c>
      <c r="K15" s="76"/>
    </row>
    <row r="16" spans="1:36" ht="15.75" x14ac:dyDescent="0.25">
      <c r="B16" s="71" t="s">
        <v>70</v>
      </c>
      <c r="C16" s="36" t="s">
        <v>71</v>
      </c>
      <c r="D16" s="24">
        <v>3</v>
      </c>
      <c r="E16" s="36">
        <f>E6*2+E7</f>
        <v>15</v>
      </c>
      <c r="F16" s="37">
        <v>50</v>
      </c>
      <c r="G16" s="37">
        <f>F16*1.0923</f>
        <v>54.615000000000002</v>
      </c>
      <c r="H16" s="37">
        <f>D16*E16*F16</f>
        <v>2250</v>
      </c>
      <c r="I16" s="38">
        <f>H16*1.0923</f>
        <v>2457.6750000000002</v>
      </c>
      <c r="K16" s="76"/>
    </row>
    <row r="17" spans="1:36" x14ac:dyDescent="0.25">
      <c r="B17" s="71" t="s">
        <v>72</v>
      </c>
      <c r="C17" s="36" t="s">
        <v>73</v>
      </c>
      <c r="D17" s="62">
        <v>1.3</v>
      </c>
      <c r="E17" s="119">
        <v>0</v>
      </c>
      <c r="F17" s="37">
        <v>50</v>
      </c>
      <c r="G17" s="37">
        <f t="shared" ref="G17:G20" si="2">F17*1.0923</f>
        <v>54.615000000000002</v>
      </c>
      <c r="H17" s="37">
        <f>D17*E17*F17</f>
        <v>0</v>
      </c>
      <c r="I17" s="38">
        <f t="shared" ref="I17:I20" si="3">H17*1.0923</f>
        <v>0</v>
      </c>
      <c r="K17" s="76"/>
    </row>
    <row r="18" spans="1:36" x14ac:dyDescent="0.25">
      <c r="B18" s="71" t="s">
        <v>74</v>
      </c>
      <c r="C18" s="36" t="s">
        <v>73</v>
      </c>
      <c r="D18" s="62">
        <v>1.3</v>
      </c>
      <c r="E18" s="119">
        <v>0</v>
      </c>
      <c r="F18" s="37">
        <v>50</v>
      </c>
      <c r="G18" s="37">
        <f t="shared" si="2"/>
        <v>54.615000000000002</v>
      </c>
      <c r="H18" s="37">
        <f t="shared" ref="H18:H20" si="4">D18*E18*F18</f>
        <v>0</v>
      </c>
      <c r="I18" s="38">
        <f t="shared" si="3"/>
        <v>0</v>
      </c>
      <c r="K18" s="76"/>
    </row>
    <row r="19" spans="1:36" ht="30" x14ac:dyDescent="0.25">
      <c r="B19" s="71" t="s">
        <v>75</v>
      </c>
      <c r="C19" s="36" t="s">
        <v>76</v>
      </c>
      <c r="D19" s="62">
        <v>7.5</v>
      </c>
      <c r="E19" s="62">
        <f>E7</f>
        <v>12</v>
      </c>
      <c r="F19" s="37">
        <v>50</v>
      </c>
      <c r="G19" s="37">
        <f t="shared" si="2"/>
        <v>54.615000000000002</v>
      </c>
      <c r="H19" s="37">
        <f t="shared" si="4"/>
        <v>4500</v>
      </c>
      <c r="I19" s="38">
        <f t="shared" si="3"/>
        <v>4915.3500000000004</v>
      </c>
      <c r="K19" s="76"/>
    </row>
    <row r="20" spans="1:36" ht="30" x14ac:dyDescent="0.25">
      <c r="B20" s="71" t="s">
        <v>77</v>
      </c>
      <c r="C20" s="36" t="s">
        <v>78</v>
      </c>
      <c r="D20" s="62">
        <v>6.25</v>
      </c>
      <c r="E20" s="119">
        <v>0</v>
      </c>
      <c r="F20" s="37">
        <v>50</v>
      </c>
      <c r="G20" s="37">
        <f t="shared" si="2"/>
        <v>54.615000000000002</v>
      </c>
      <c r="H20" s="37">
        <f t="shared" si="4"/>
        <v>0</v>
      </c>
      <c r="I20" s="38">
        <f t="shared" si="3"/>
        <v>0</v>
      </c>
      <c r="K20" s="76"/>
    </row>
    <row r="21" spans="1:36" ht="15" customHeight="1" x14ac:dyDescent="0.25">
      <c r="B21" s="270" t="s">
        <v>87</v>
      </c>
      <c r="C21" s="47"/>
      <c r="D21" s="48"/>
      <c r="E21" s="49"/>
      <c r="F21" s="50"/>
      <c r="G21" s="50"/>
      <c r="H21" s="50">
        <f>SUM(H11:H20)</f>
        <v>25950</v>
      </c>
      <c r="I21" s="271">
        <f>H21*1.0923</f>
        <v>28345.185000000001</v>
      </c>
      <c r="K21" s="76"/>
    </row>
    <row r="22" spans="1:36" ht="15" customHeight="1" x14ac:dyDescent="0.25">
      <c r="B22" s="41"/>
      <c r="C22" s="25"/>
      <c r="D22" s="26"/>
      <c r="E22" s="27"/>
      <c r="F22" s="28"/>
      <c r="G22" s="28"/>
      <c r="H22" s="28"/>
      <c r="I22" s="40"/>
      <c r="K22" s="76"/>
    </row>
    <row r="23" spans="1:36" ht="15" customHeight="1" x14ac:dyDescent="0.25">
      <c r="B23" s="282" t="s">
        <v>88</v>
      </c>
      <c r="C23" s="283" t="s">
        <v>89</v>
      </c>
      <c r="D23" s="254"/>
      <c r="E23" s="254"/>
      <c r="F23" s="51">
        <v>0.1</v>
      </c>
      <c r="G23" s="51"/>
      <c r="H23" s="134">
        <f>H21*F23</f>
        <v>2595</v>
      </c>
      <c r="I23" s="286">
        <f t="shared" ref="I23:I28" si="5">H23*1.0923</f>
        <v>2834.5185000000001</v>
      </c>
      <c r="K23" s="76"/>
    </row>
    <row r="24" spans="1:36" ht="15" customHeight="1" x14ac:dyDescent="0.25">
      <c r="B24" s="41" t="s">
        <v>90</v>
      </c>
      <c r="C24" s="25"/>
      <c r="D24" s="66"/>
      <c r="E24" s="67"/>
      <c r="F24" s="29"/>
      <c r="G24" s="29"/>
      <c r="H24" s="28">
        <f>SUM(H21:H23)</f>
        <v>28545</v>
      </c>
      <c r="I24" s="40">
        <f t="shared" si="5"/>
        <v>31179.7035</v>
      </c>
      <c r="K24" s="76"/>
    </row>
    <row r="25" spans="1:36" ht="15" customHeight="1" x14ac:dyDescent="0.25">
      <c r="B25" s="284" t="s">
        <v>91</v>
      </c>
      <c r="C25" s="285" t="s">
        <v>89</v>
      </c>
      <c r="D25" s="255"/>
      <c r="E25" s="255"/>
      <c r="F25" s="53">
        <v>0.1</v>
      </c>
      <c r="G25" s="53"/>
      <c r="H25" s="172">
        <f>H24*F25</f>
        <v>2854.5</v>
      </c>
      <c r="I25" s="294">
        <f t="shared" si="5"/>
        <v>3117.9703500000001</v>
      </c>
      <c r="K25" s="76"/>
    </row>
    <row r="26" spans="1:36" s="4" customFormat="1" ht="15" customHeight="1" thickBot="1" x14ac:dyDescent="0.3">
      <c r="A26" s="2"/>
      <c r="B26" s="54" t="s">
        <v>87</v>
      </c>
      <c r="C26" s="55"/>
      <c r="D26" s="68"/>
      <c r="E26" s="69"/>
      <c r="F26" s="56"/>
      <c r="G26" s="56"/>
      <c r="H26" s="173">
        <f>SUM(H24:H25)</f>
        <v>31399.5</v>
      </c>
      <c r="I26" s="182">
        <f t="shared" si="5"/>
        <v>34297.673849999999</v>
      </c>
      <c r="K26" s="76"/>
      <c r="L26" s="5"/>
      <c r="M26" s="5"/>
      <c r="N26" s="5"/>
      <c r="O26" s="5"/>
      <c r="P26" s="5"/>
      <c r="Q26" s="5"/>
      <c r="R26" s="5"/>
      <c r="S26" s="3"/>
      <c r="T26" s="5"/>
      <c r="U26" s="3"/>
      <c r="V26" s="5"/>
      <c r="W26" s="5"/>
      <c r="X26" s="5"/>
      <c r="Y26" s="5"/>
      <c r="Z26" s="5"/>
      <c r="AA26" s="5"/>
      <c r="AB26" s="5"/>
      <c r="AC26" s="5"/>
      <c r="AD26" s="5"/>
      <c r="AE26" s="6"/>
      <c r="AF26" s="1"/>
      <c r="AG26"/>
      <c r="AH26"/>
      <c r="AI26"/>
      <c r="AJ26"/>
    </row>
    <row r="27" spans="1:36" s="4" customFormat="1" ht="15" customHeight="1" thickTop="1" x14ac:dyDescent="0.25">
      <c r="A27" s="2"/>
      <c r="B27" s="282" t="s">
        <v>92</v>
      </c>
      <c r="C27" s="287" t="s">
        <v>93</v>
      </c>
      <c r="D27" s="252"/>
      <c r="E27" s="252"/>
      <c r="F27" s="51">
        <v>0.25</v>
      </c>
      <c r="G27" s="51"/>
      <c r="H27" s="180">
        <f>H26*F27</f>
        <v>7849.875</v>
      </c>
      <c r="I27" s="295">
        <f t="shared" si="5"/>
        <v>8574.4184624999998</v>
      </c>
      <c r="K27" s="76"/>
      <c r="L27" s="5"/>
      <c r="M27" s="5"/>
      <c r="N27" s="5"/>
      <c r="O27" s="5"/>
      <c r="P27" s="5"/>
      <c r="Q27" s="5"/>
      <c r="R27" s="5"/>
      <c r="S27" s="3"/>
      <c r="T27" s="5"/>
      <c r="U27" s="3"/>
      <c r="V27" s="5"/>
      <c r="W27" s="5"/>
      <c r="X27" s="5"/>
      <c r="Y27" s="5"/>
      <c r="Z27" s="5"/>
      <c r="AA27" s="5"/>
      <c r="AB27" s="5"/>
      <c r="AC27" s="5"/>
      <c r="AD27" s="5"/>
      <c r="AE27" s="6"/>
      <c r="AF27" s="1"/>
      <c r="AG27"/>
      <c r="AH27"/>
      <c r="AI27"/>
      <c r="AJ27"/>
    </row>
    <row r="28" spans="1:36" s="4" customFormat="1" ht="15" customHeight="1" thickBot="1" x14ac:dyDescent="0.3">
      <c r="A28" s="2"/>
      <c r="B28" s="288" t="s">
        <v>94</v>
      </c>
      <c r="C28" s="289" t="s">
        <v>95</v>
      </c>
      <c r="D28" s="253"/>
      <c r="E28" s="253"/>
      <c r="F28" s="52">
        <v>0.05</v>
      </c>
      <c r="G28" s="52"/>
      <c r="H28" s="174">
        <f>H27*F28</f>
        <v>392.49375000000003</v>
      </c>
      <c r="I28" s="296">
        <f t="shared" si="5"/>
        <v>428.72092312500007</v>
      </c>
      <c r="K28" s="76"/>
      <c r="L28" s="5"/>
      <c r="M28" s="5"/>
      <c r="N28" s="5"/>
      <c r="O28" s="5"/>
      <c r="P28" s="5"/>
      <c r="Q28" s="5"/>
      <c r="R28" s="5"/>
      <c r="S28" s="3"/>
      <c r="T28" s="5"/>
      <c r="U28" s="3"/>
      <c r="V28" s="5"/>
      <c r="W28" s="5"/>
      <c r="X28" s="5"/>
      <c r="Y28" s="5"/>
      <c r="Z28" s="5"/>
      <c r="AA28" s="5"/>
      <c r="AB28" s="5"/>
      <c r="AC28" s="5"/>
      <c r="AD28" s="5"/>
      <c r="AE28" s="6"/>
      <c r="AF28" s="1"/>
      <c r="AG28"/>
      <c r="AH28"/>
      <c r="AI28"/>
      <c r="AJ28"/>
    </row>
    <row r="29" spans="1:36" s="4" customFormat="1" ht="15" customHeight="1" thickTop="1" x14ac:dyDescent="0.25">
      <c r="A29" s="2"/>
      <c r="B29" s="39"/>
      <c r="C29" s="22"/>
      <c r="D29" s="17"/>
      <c r="F29" s="7"/>
      <c r="G29" s="7"/>
      <c r="H29" s="7"/>
      <c r="I29" s="183"/>
      <c r="K29" s="76"/>
      <c r="L29" s="5"/>
      <c r="M29" s="5"/>
      <c r="N29" s="5"/>
      <c r="O29" s="5"/>
      <c r="P29" s="5"/>
      <c r="Q29" s="5"/>
      <c r="R29" s="5"/>
      <c r="S29" s="3"/>
      <c r="T29" s="5"/>
      <c r="U29" s="3"/>
      <c r="V29" s="5"/>
      <c r="W29" s="5"/>
      <c r="X29" s="5"/>
      <c r="Y29" s="5"/>
      <c r="Z29" s="5"/>
      <c r="AA29" s="5"/>
      <c r="AB29" s="5"/>
      <c r="AC29" s="5"/>
      <c r="AD29" s="5"/>
      <c r="AE29" s="6"/>
      <c r="AF29" s="1"/>
      <c r="AG29"/>
      <c r="AH29"/>
      <c r="AI29"/>
      <c r="AJ29"/>
    </row>
    <row r="30" spans="1:36" s="4" customFormat="1" ht="15" customHeight="1" thickBot="1" x14ac:dyDescent="0.3">
      <c r="A30" s="2"/>
      <c r="B30" s="43" t="s">
        <v>96</v>
      </c>
      <c r="C30" s="44"/>
      <c r="D30" s="45"/>
      <c r="E30" s="13"/>
      <c r="F30" s="46"/>
      <c r="G30" s="46"/>
      <c r="H30" s="46">
        <f>SUM(H26,H27,H28)</f>
        <v>39641.868750000001</v>
      </c>
      <c r="I30" s="178">
        <f>H30*1.0923</f>
        <v>43300.813235625006</v>
      </c>
      <c r="K30" s="76"/>
      <c r="L30" s="5"/>
      <c r="M30" s="5"/>
      <c r="N30" s="5"/>
      <c r="O30" s="5"/>
      <c r="P30" s="5"/>
      <c r="Q30" s="5"/>
      <c r="R30" s="5"/>
      <c r="S30" s="3"/>
      <c r="T30" s="5"/>
      <c r="U30" s="3"/>
      <c r="V30" s="5"/>
      <c r="W30" s="5"/>
      <c r="X30" s="5"/>
      <c r="Y30" s="5"/>
      <c r="Z30" s="5"/>
      <c r="AA30" s="5"/>
      <c r="AB30" s="5"/>
      <c r="AC30" s="5"/>
      <c r="AD30" s="5"/>
      <c r="AE30" s="6"/>
      <c r="AF30" s="1"/>
      <c r="AG30"/>
      <c r="AH30"/>
      <c r="AI30"/>
      <c r="AJ30"/>
    </row>
    <row r="31" spans="1:36" x14ac:dyDescent="0.25">
      <c r="I31" s="176"/>
    </row>
  </sheetData>
  <mergeCells count="6">
    <mergeCell ref="C28:E28"/>
    <mergeCell ref="C23:E23"/>
    <mergeCell ref="C25:E25"/>
    <mergeCell ref="C27:E27"/>
    <mergeCell ref="B2:I2"/>
    <mergeCell ref="B3:I3"/>
  </mergeCells>
  <dataValidations xWindow="696" yWindow="395" count="6">
    <dataValidation allowBlank="1" showInputMessage="1" showErrorMessage="1" prompt="Shared lanes are roadways where bicycle traffic and motor vehicle traffic share the same travel lane. Shared lanes have no physical features which create a more inviting cycling experience and are not suitable for most people bicycling.  " sqref="B2" xr:uid="{E577A33E-28D9-43C4-ABAD-087DF180901D}"/>
    <dataValidation allowBlank="1" showInputMessage="1" showErrorMessage="1" prompt="To further improve LTS on shared lanes, see the BIKE BLVD tab for traffic calming features.  Shared lanes with an acceptable LTS must have very low traffic volumes (&lt;1000 ADT) and low motor vehicle operating speeds (&lt;25 mph)._x000a_" sqref="B3" xr:uid="{C66A68ED-E71D-4472-8C61-290CF007E7B8}"/>
    <dataValidation allowBlank="1" showInputMessage="1" showErrorMessage="1" promptTitle="Bike Lane Ahead" prompt="Enter additional quanities for this type of sign, if desired or required." sqref="E17" xr:uid="{3E77CE57-608C-4A61-88C6-2DCC878B2D5F}"/>
    <dataValidation allowBlank="1" showInputMessage="1" showErrorMessage="1" promptTitle="Bike Lane Ends" prompt="Enter additional quanities for this type of sign, if desired or required." sqref="E18" xr:uid="{871178FE-E0FD-4511-AD3A-06194FDDC8A4}"/>
    <dataValidation allowBlank="1" showInputMessage="1" showErrorMessage="1" promptTitle="Bikes May Use Full Lane" prompt="Enter additional quanities for this type of sign, if desired or required." sqref="E20" xr:uid="{27729404-8070-49AD-A0DF-7E73C23B0923}"/>
    <dataValidation allowBlank="1" showInputMessage="1" showErrorMessage="1" prompt="2025 cost values are estimated by applying a 9.23% inflation rate to 2022 costs." sqref="G10 G15 I10 I15" xr:uid="{BD74FD5C-D6BA-44F5-804C-FC86170B0B88}"/>
  </dataValidations>
  <pageMargins left="0.25" right="0.25" top="0.75" bottom="0.75" header="0.3" footer="0.3"/>
  <pageSetup paperSize="3" scale="78" fitToHeight="0" orientation="landscape" r:id="rId1"/>
  <ignoredErrors>
    <ignoredError sqref="H26 H11:H14 H16:H2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8559-9940-4B21-A574-BD5131A68B3F}">
  <sheetPr>
    <pageSetUpPr fitToPage="1"/>
  </sheetPr>
  <dimension ref="A1:AJ38"/>
  <sheetViews>
    <sheetView zoomScaleNormal="100" workbookViewId="0">
      <selection activeCell="D20" sqref="D20"/>
    </sheetView>
  </sheetViews>
  <sheetFormatPr defaultColWidth="8.85546875" defaultRowHeight="15" x14ac:dyDescent="0.25"/>
  <cols>
    <col min="1" max="1" width="8.5703125" style="2" customWidth="1"/>
    <col min="2" max="2" width="26" style="1" customWidth="1"/>
    <col min="3" max="3" width="14.85546875" style="4" customWidth="1"/>
    <col min="4" max="4" width="8.5703125" style="4" customWidth="1"/>
    <col min="5" max="5" width="12.42578125" style="3" customWidth="1"/>
    <col min="6" max="6" width="12" style="3" hidden="1" customWidth="1"/>
    <col min="7" max="7" width="12" style="3" customWidth="1"/>
    <col min="8" max="8" width="11.140625" style="3" hidden="1" customWidth="1"/>
    <col min="9" max="9" width="11.140625" style="3" customWidth="1"/>
    <col min="10" max="10" width="13.85546875" style="4" customWidth="1"/>
    <col min="11" max="11" width="25" style="5" customWidth="1"/>
    <col min="12" max="12" width="12.570312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57.95" customHeight="1" x14ac:dyDescent="0.25">
      <c r="A2" s="10"/>
      <c r="B2" s="256" t="s">
        <v>101</v>
      </c>
      <c r="C2" s="257"/>
      <c r="D2" s="257"/>
      <c r="E2" s="257"/>
      <c r="F2" s="257"/>
      <c r="G2" s="257"/>
      <c r="H2" s="257"/>
      <c r="I2" s="258"/>
      <c r="J2" s="10"/>
      <c r="K2" s="121" t="s">
        <v>98</v>
      </c>
    </row>
    <row r="3" spans="1:36" s="5" customFormat="1" ht="15.75" customHeight="1" thickBot="1" x14ac:dyDescent="0.3">
      <c r="A3" s="10"/>
      <c r="B3" s="262" t="s">
        <v>99</v>
      </c>
      <c r="C3" s="263"/>
      <c r="D3" s="263"/>
      <c r="E3" s="263"/>
      <c r="F3" s="263"/>
      <c r="G3" s="263"/>
      <c r="H3" s="263"/>
      <c r="I3" s="264"/>
      <c r="J3" s="10"/>
      <c r="K3" s="10"/>
      <c r="S3" s="3"/>
      <c r="U3" s="3"/>
      <c r="AE3" s="6"/>
      <c r="AF3" s="1"/>
      <c r="AG3"/>
      <c r="AH3"/>
      <c r="AI3"/>
      <c r="AJ3"/>
    </row>
    <row r="4" spans="1:36" s="5" customFormat="1" x14ac:dyDescent="0.25">
      <c r="A4" s="10"/>
      <c r="B4" s="272" t="s">
        <v>48</v>
      </c>
      <c r="C4" s="60"/>
      <c r="D4" s="60"/>
      <c r="E4" s="293" t="s">
        <v>49</v>
      </c>
      <c r="F4" s="30"/>
      <c r="G4" s="30"/>
      <c r="H4" s="138"/>
      <c r="I4" s="181"/>
      <c r="J4" s="10"/>
      <c r="K4" s="10"/>
      <c r="S4" s="3"/>
      <c r="U4" s="3"/>
      <c r="AE4" s="6"/>
      <c r="AF4" s="1"/>
      <c r="AG4"/>
      <c r="AH4"/>
      <c r="AI4"/>
      <c r="AJ4"/>
    </row>
    <row r="5" spans="1:36" s="5" customFormat="1" ht="19.350000000000001" customHeight="1" x14ac:dyDescent="0.25">
      <c r="A5" s="10"/>
      <c r="B5" s="31" t="s">
        <v>50</v>
      </c>
      <c r="C5" s="21" t="s">
        <v>51</v>
      </c>
      <c r="E5" s="24">
        <f>E6*5280</f>
        <v>7920</v>
      </c>
      <c r="F5" s="21"/>
      <c r="G5" s="21"/>
      <c r="H5" s="19"/>
      <c r="I5" s="32"/>
      <c r="J5" s="10"/>
      <c r="K5" s="10"/>
      <c r="S5" s="3"/>
      <c r="U5" s="3"/>
      <c r="AE5" s="6"/>
      <c r="AF5" s="1"/>
      <c r="AG5"/>
      <c r="AH5"/>
      <c r="AI5"/>
      <c r="AJ5"/>
    </row>
    <row r="6" spans="1:36" s="5" customFormat="1" ht="15.75" x14ac:dyDescent="0.25">
      <c r="A6" s="10"/>
      <c r="B6" s="31" t="s">
        <v>50</v>
      </c>
      <c r="C6" s="21" t="s">
        <v>52</v>
      </c>
      <c r="E6" s="117">
        <v>1.5</v>
      </c>
      <c r="F6" s="21"/>
      <c r="G6" s="21"/>
      <c r="H6" s="19"/>
      <c r="I6" s="32"/>
      <c r="J6" s="10"/>
      <c r="K6" s="10"/>
      <c r="S6" s="3"/>
      <c r="U6" s="3"/>
      <c r="AE6" s="6"/>
      <c r="AF6" s="1"/>
      <c r="AG6"/>
      <c r="AH6"/>
      <c r="AI6"/>
      <c r="AJ6"/>
    </row>
    <row r="7" spans="1:36" s="5" customFormat="1" ht="15.75" x14ac:dyDescent="0.25">
      <c r="A7" s="10"/>
      <c r="B7" s="33" t="s">
        <v>53</v>
      </c>
      <c r="C7" s="2" t="s">
        <v>54</v>
      </c>
      <c r="E7" s="118">
        <v>12</v>
      </c>
      <c r="F7" s="7"/>
      <c r="G7" s="7"/>
      <c r="H7" s="19"/>
      <c r="I7" s="32"/>
      <c r="J7" s="10"/>
      <c r="K7" s="10"/>
      <c r="S7" s="3"/>
      <c r="U7" s="3"/>
      <c r="AE7" s="6"/>
      <c r="AF7" s="1"/>
      <c r="AG7"/>
      <c r="AH7"/>
      <c r="AI7"/>
      <c r="AJ7"/>
    </row>
    <row r="8" spans="1:36" s="5" customFormat="1" ht="18" customHeight="1" x14ac:dyDescent="0.25">
      <c r="A8" s="10"/>
      <c r="B8" s="34" t="s">
        <v>55</v>
      </c>
      <c r="C8" s="64" t="s">
        <v>51</v>
      </c>
      <c r="E8" s="118">
        <v>40</v>
      </c>
      <c r="F8" s="7"/>
      <c r="G8" s="7"/>
      <c r="H8" s="19"/>
      <c r="I8" s="32"/>
      <c r="J8" s="10"/>
      <c r="K8" s="10"/>
      <c r="S8" s="3"/>
      <c r="U8" s="3"/>
      <c r="AE8" s="6"/>
      <c r="AF8" s="1"/>
      <c r="AG8"/>
      <c r="AH8"/>
      <c r="AI8"/>
      <c r="AJ8"/>
    </row>
    <row r="9" spans="1:36" s="5" customFormat="1" ht="15.75" x14ac:dyDescent="0.25">
      <c r="A9" s="10"/>
      <c r="B9" s="34"/>
      <c r="C9" s="64"/>
      <c r="E9" s="24"/>
      <c r="F9" s="37"/>
      <c r="G9" s="37"/>
      <c r="H9" s="19"/>
      <c r="I9" s="32"/>
      <c r="J9" s="10"/>
      <c r="K9" s="10"/>
      <c r="S9" s="3"/>
      <c r="U9" s="3"/>
      <c r="AE9" s="6"/>
      <c r="AF9" s="1"/>
      <c r="AG9"/>
      <c r="AH9"/>
      <c r="AI9"/>
      <c r="AJ9"/>
    </row>
    <row r="10" spans="1:36" s="5" customFormat="1" ht="30" x14ac:dyDescent="0.25">
      <c r="A10" s="10"/>
      <c r="B10" s="274" t="s">
        <v>56</v>
      </c>
      <c r="C10" s="65"/>
      <c r="D10" s="70"/>
      <c r="E10" s="278" t="s">
        <v>49</v>
      </c>
      <c r="F10" s="20" t="s">
        <v>57</v>
      </c>
      <c r="G10" s="281" t="s">
        <v>58</v>
      </c>
      <c r="H10" s="20" t="s">
        <v>59</v>
      </c>
      <c r="I10" s="281" t="s">
        <v>60</v>
      </c>
      <c r="J10" s="10"/>
      <c r="K10" s="10"/>
      <c r="S10" s="3"/>
      <c r="U10" s="3"/>
      <c r="AE10" s="6"/>
      <c r="AF10" s="1"/>
      <c r="AG10"/>
      <c r="AH10"/>
      <c r="AI10"/>
      <c r="AJ10"/>
    </row>
    <row r="11" spans="1:36" s="5" customFormat="1" ht="15.75" x14ac:dyDescent="0.25">
      <c r="A11" s="10"/>
      <c r="B11" s="34" t="s">
        <v>100</v>
      </c>
      <c r="C11" s="64" t="s">
        <v>54</v>
      </c>
      <c r="E11" s="24">
        <f>(E5*2/300)+E7</f>
        <v>64.8</v>
      </c>
      <c r="F11" s="37">
        <v>500</v>
      </c>
      <c r="G11" s="37">
        <f>F11*1.0923</f>
        <v>546.15</v>
      </c>
      <c r="H11" s="19">
        <f>E11*F11</f>
        <v>32400</v>
      </c>
      <c r="I11" s="32">
        <f>H11*1.0923</f>
        <v>35390.520000000004</v>
      </c>
      <c r="J11" s="10"/>
      <c r="K11" s="10"/>
      <c r="S11" s="3"/>
      <c r="U11" s="3"/>
      <c r="AE11" s="6"/>
      <c r="AF11" s="1"/>
      <c r="AG11"/>
      <c r="AH11"/>
      <c r="AI11"/>
      <c r="AJ11"/>
    </row>
    <row r="12" spans="1:36" s="5" customFormat="1" ht="30" x14ac:dyDescent="0.25">
      <c r="A12" s="10"/>
      <c r="B12" s="61" t="s">
        <v>62</v>
      </c>
      <c r="C12" s="64" t="s">
        <v>51</v>
      </c>
      <c r="E12" s="118">
        <v>0</v>
      </c>
      <c r="F12" s="37">
        <v>20</v>
      </c>
      <c r="G12" s="37">
        <f>F12*1.0923</f>
        <v>21.846</v>
      </c>
      <c r="H12" s="19">
        <f>E12*F12</f>
        <v>0</v>
      </c>
      <c r="I12" s="32">
        <f t="shared" ref="I12:I13" si="0">H12*1.0923</f>
        <v>0</v>
      </c>
      <c r="J12" s="10"/>
      <c r="K12" s="10"/>
      <c r="S12" s="3"/>
      <c r="U12" s="3"/>
      <c r="AE12" s="6"/>
      <c r="AF12" s="1"/>
      <c r="AG12"/>
      <c r="AH12"/>
      <c r="AI12"/>
      <c r="AJ12"/>
    </row>
    <row r="13" spans="1:36" s="5" customFormat="1" ht="30" x14ac:dyDescent="0.25">
      <c r="A13" s="10"/>
      <c r="B13" s="61" t="s">
        <v>64</v>
      </c>
      <c r="C13" s="64" t="s">
        <v>51</v>
      </c>
      <c r="D13" s="24"/>
      <c r="E13" s="118">
        <v>0</v>
      </c>
      <c r="F13" s="37">
        <v>20</v>
      </c>
      <c r="G13" s="37">
        <f>F13*1.0923</f>
        <v>21.846</v>
      </c>
      <c r="H13" s="19">
        <f>D13*F13</f>
        <v>0</v>
      </c>
      <c r="I13" s="32">
        <f t="shared" si="0"/>
        <v>0</v>
      </c>
      <c r="J13" s="10"/>
      <c r="K13" s="10"/>
      <c r="S13" s="3"/>
      <c r="U13" s="3"/>
      <c r="AE13" s="6"/>
      <c r="AF13" s="1"/>
      <c r="AG13"/>
      <c r="AH13"/>
      <c r="AI13"/>
      <c r="AJ13"/>
    </row>
    <row r="14" spans="1:36" s="5" customFormat="1" ht="15.75" x14ac:dyDescent="0.25">
      <c r="A14" s="10"/>
      <c r="B14" s="61"/>
      <c r="C14" s="64"/>
      <c r="D14" s="24"/>
      <c r="E14" s="36"/>
      <c r="F14" s="37"/>
      <c r="G14" s="37"/>
      <c r="H14" s="19"/>
      <c r="I14" s="32"/>
      <c r="J14" s="10"/>
      <c r="K14" s="10"/>
      <c r="S14" s="3"/>
      <c r="U14" s="3"/>
      <c r="AE14" s="6"/>
      <c r="AF14" s="1"/>
      <c r="AG14"/>
      <c r="AH14"/>
      <c r="AI14"/>
      <c r="AJ14"/>
    </row>
    <row r="15" spans="1:36" ht="30" x14ac:dyDescent="0.25">
      <c r="B15" s="274" t="s">
        <v>67</v>
      </c>
      <c r="C15" s="278" t="s">
        <v>68</v>
      </c>
      <c r="D15" s="279" t="s">
        <v>69</v>
      </c>
      <c r="E15" s="280" t="s">
        <v>49</v>
      </c>
      <c r="F15" s="20" t="s">
        <v>57</v>
      </c>
      <c r="G15" s="281" t="s">
        <v>58</v>
      </c>
      <c r="H15" s="20" t="s">
        <v>59</v>
      </c>
      <c r="I15" s="281" t="s">
        <v>60</v>
      </c>
      <c r="K15" s="76"/>
    </row>
    <row r="16" spans="1:36" ht="15.75" x14ac:dyDescent="0.25">
      <c r="B16" s="71" t="s">
        <v>70</v>
      </c>
      <c r="C16" s="36" t="s">
        <v>71</v>
      </c>
      <c r="D16" s="24">
        <v>3</v>
      </c>
      <c r="E16" s="36">
        <f>E6*4+E7</f>
        <v>18</v>
      </c>
      <c r="F16" s="37">
        <v>50</v>
      </c>
      <c r="G16" s="37">
        <f>F16*1.0923</f>
        <v>54.615000000000002</v>
      </c>
      <c r="H16" s="37">
        <f>D16*E16*F16</f>
        <v>2700</v>
      </c>
      <c r="I16" s="38">
        <f>H16*1.0923</f>
        <v>2949.21</v>
      </c>
      <c r="K16" s="76"/>
    </row>
    <row r="17" spans="1:36" x14ac:dyDescent="0.25">
      <c r="B17" s="71" t="s">
        <v>72</v>
      </c>
      <c r="C17" s="36" t="s">
        <v>73</v>
      </c>
      <c r="D17" s="62">
        <v>1.3</v>
      </c>
      <c r="E17" s="119">
        <v>0</v>
      </c>
      <c r="F17" s="37">
        <v>50</v>
      </c>
      <c r="G17" s="37">
        <f t="shared" ref="G17:G20" si="1">F17*1.0923</f>
        <v>54.615000000000002</v>
      </c>
      <c r="H17" s="37">
        <f>D17*E17*F17</f>
        <v>0</v>
      </c>
      <c r="I17" s="38">
        <f t="shared" ref="I17:I20" si="2">H17*1.0923</f>
        <v>0</v>
      </c>
      <c r="K17" s="76"/>
    </row>
    <row r="18" spans="1:36" x14ac:dyDescent="0.25">
      <c r="B18" s="71" t="s">
        <v>74</v>
      </c>
      <c r="C18" s="36" t="s">
        <v>73</v>
      </c>
      <c r="D18" s="62">
        <v>1.3</v>
      </c>
      <c r="E18" s="119">
        <v>0</v>
      </c>
      <c r="F18" s="37">
        <v>50</v>
      </c>
      <c r="G18" s="37">
        <f t="shared" si="1"/>
        <v>54.615000000000002</v>
      </c>
      <c r="H18" s="37">
        <f t="shared" ref="H18:H20" si="3">D18*E18*F18</f>
        <v>0</v>
      </c>
      <c r="I18" s="38">
        <f t="shared" si="2"/>
        <v>0</v>
      </c>
      <c r="K18" s="76"/>
    </row>
    <row r="19" spans="1:36" ht="30" x14ac:dyDescent="0.25">
      <c r="B19" s="71" t="s">
        <v>75</v>
      </c>
      <c r="C19" s="36" t="s">
        <v>76</v>
      </c>
      <c r="D19" s="62">
        <v>7.5</v>
      </c>
      <c r="E19" s="120">
        <v>0</v>
      </c>
      <c r="F19" s="37">
        <v>50</v>
      </c>
      <c r="G19" s="37">
        <f t="shared" si="1"/>
        <v>54.615000000000002</v>
      </c>
      <c r="H19" s="37">
        <f t="shared" si="3"/>
        <v>0</v>
      </c>
      <c r="I19" s="38">
        <f t="shared" si="2"/>
        <v>0</v>
      </c>
      <c r="K19" s="76"/>
    </row>
    <row r="20" spans="1:36" ht="30" x14ac:dyDescent="0.25">
      <c r="B20" s="71" t="s">
        <v>77</v>
      </c>
      <c r="C20" s="36" t="s">
        <v>78</v>
      </c>
      <c r="D20" s="62">
        <v>6.25</v>
      </c>
      <c r="E20" s="62">
        <f>E7</f>
        <v>12</v>
      </c>
      <c r="F20" s="37">
        <v>50</v>
      </c>
      <c r="G20" s="37">
        <f t="shared" si="1"/>
        <v>54.615000000000002</v>
      </c>
      <c r="H20" s="37">
        <f t="shared" si="3"/>
        <v>3750</v>
      </c>
      <c r="I20" s="38">
        <f t="shared" si="2"/>
        <v>4096.125</v>
      </c>
      <c r="K20" s="76"/>
    </row>
    <row r="21" spans="1:36" ht="15" customHeight="1" x14ac:dyDescent="0.25">
      <c r="B21" s="270" t="s">
        <v>87</v>
      </c>
      <c r="C21" s="47"/>
      <c r="D21" s="48"/>
      <c r="E21" s="49"/>
      <c r="F21" s="50"/>
      <c r="G21" s="50"/>
      <c r="H21" s="50">
        <f>SUM(H11:H20)</f>
        <v>38850</v>
      </c>
      <c r="I21" s="271">
        <f>H21*1.0923</f>
        <v>42435.855000000003</v>
      </c>
      <c r="K21" s="76"/>
    </row>
    <row r="22" spans="1:36" ht="15" customHeight="1" x14ac:dyDescent="0.25">
      <c r="B22" s="41"/>
      <c r="C22" s="25"/>
      <c r="D22" s="26"/>
      <c r="E22" s="27"/>
      <c r="F22" s="28"/>
      <c r="G22" s="28"/>
      <c r="H22" s="28"/>
      <c r="I22" s="40"/>
      <c r="K22" s="76"/>
    </row>
    <row r="23" spans="1:36" ht="15" customHeight="1" x14ac:dyDescent="0.25">
      <c r="B23" s="282" t="s">
        <v>88</v>
      </c>
      <c r="C23" s="283" t="s">
        <v>89</v>
      </c>
      <c r="D23" s="254"/>
      <c r="E23" s="254"/>
      <c r="F23" s="51">
        <v>0.1</v>
      </c>
      <c r="G23" s="51"/>
      <c r="H23" s="134">
        <f>H21*F23</f>
        <v>3885</v>
      </c>
      <c r="I23" s="286">
        <f t="shared" ref="I23:I28" si="4">H23*1.0923</f>
        <v>4243.5855000000001</v>
      </c>
      <c r="K23" s="76"/>
    </row>
    <row r="24" spans="1:36" ht="15" customHeight="1" x14ac:dyDescent="0.25">
      <c r="B24" s="41" t="s">
        <v>90</v>
      </c>
      <c r="C24" s="25"/>
      <c r="D24" s="66"/>
      <c r="E24" s="67"/>
      <c r="F24" s="29"/>
      <c r="G24" s="29"/>
      <c r="H24" s="28">
        <f>SUM(H21:H23)</f>
        <v>42735</v>
      </c>
      <c r="I24" s="40">
        <f t="shared" si="4"/>
        <v>46679.440500000004</v>
      </c>
      <c r="K24" s="76"/>
    </row>
    <row r="25" spans="1:36" ht="15" customHeight="1" x14ac:dyDescent="0.25">
      <c r="B25" s="284" t="s">
        <v>91</v>
      </c>
      <c r="C25" s="285" t="s">
        <v>89</v>
      </c>
      <c r="D25" s="255"/>
      <c r="E25" s="255"/>
      <c r="F25" s="53">
        <v>0.1</v>
      </c>
      <c r="G25" s="53"/>
      <c r="H25" s="172">
        <f>H24*F25</f>
        <v>4273.5</v>
      </c>
      <c r="I25" s="286">
        <f t="shared" si="4"/>
        <v>4667.9440500000001</v>
      </c>
      <c r="K25" s="76"/>
    </row>
    <row r="26" spans="1:36" s="4" customFormat="1" ht="15" customHeight="1" thickBot="1" x14ac:dyDescent="0.3">
      <c r="A26" s="2"/>
      <c r="B26" s="54" t="s">
        <v>87</v>
      </c>
      <c r="C26" s="55"/>
      <c r="D26" s="68"/>
      <c r="E26" s="69"/>
      <c r="F26" s="56"/>
      <c r="G26" s="56"/>
      <c r="H26" s="173">
        <f>SUM(H24:H25)</f>
        <v>47008.5</v>
      </c>
      <c r="I26" s="57">
        <f t="shared" si="4"/>
        <v>51347.384550000002</v>
      </c>
      <c r="K26" s="76"/>
      <c r="L26" s="5"/>
      <c r="M26" s="5"/>
      <c r="N26" s="5"/>
      <c r="O26" s="5"/>
      <c r="P26" s="5"/>
      <c r="Q26" s="5"/>
      <c r="R26" s="5"/>
      <c r="S26" s="3"/>
      <c r="T26" s="5"/>
      <c r="U26" s="3"/>
      <c r="V26" s="5"/>
      <c r="W26" s="5"/>
      <c r="X26" s="5"/>
      <c r="Y26" s="5"/>
      <c r="Z26" s="5"/>
      <c r="AA26" s="5"/>
      <c r="AB26" s="5"/>
      <c r="AC26" s="5"/>
      <c r="AD26" s="5"/>
      <c r="AE26" s="6"/>
      <c r="AF26" s="1"/>
      <c r="AG26"/>
      <c r="AH26"/>
      <c r="AI26"/>
      <c r="AJ26"/>
    </row>
    <row r="27" spans="1:36" s="4" customFormat="1" ht="15" customHeight="1" thickTop="1" x14ac:dyDescent="0.25">
      <c r="A27" s="2"/>
      <c r="B27" s="282" t="s">
        <v>92</v>
      </c>
      <c r="C27" s="287" t="s">
        <v>93</v>
      </c>
      <c r="D27" s="252"/>
      <c r="E27" s="252"/>
      <c r="F27" s="51">
        <v>0.25</v>
      </c>
      <c r="G27" s="51"/>
      <c r="H27" s="180">
        <f>H26*F27</f>
        <v>11752.125</v>
      </c>
      <c r="I27" s="295">
        <f t="shared" si="4"/>
        <v>12836.846137500001</v>
      </c>
      <c r="K27" s="76"/>
      <c r="L27" s="5"/>
      <c r="M27" s="5"/>
      <c r="N27" s="5"/>
      <c r="O27" s="5"/>
      <c r="P27" s="5"/>
      <c r="Q27" s="5"/>
      <c r="R27" s="5"/>
      <c r="S27" s="3"/>
      <c r="T27" s="5"/>
      <c r="U27" s="3"/>
      <c r="V27" s="5"/>
      <c r="W27" s="5"/>
      <c r="X27" s="5"/>
      <c r="Y27" s="5"/>
      <c r="Z27" s="5"/>
      <c r="AA27" s="5"/>
      <c r="AB27" s="5"/>
      <c r="AC27" s="5"/>
      <c r="AD27" s="5"/>
      <c r="AE27" s="6"/>
      <c r="AF27" s="1"/>
      <c r="AG27"/>
      <c r="AH27"/>
      <c r="AI27"/>
      <c r="AJ27"/>
    </row>
    <row r="28" spans="1:36" s="4" customFormat="1" ht="15" customHeight="1" thickBot="1" x14ac:dyDescent="0.3">
      <c r="A28" s="2"/>
      <c r="B28" s="288" t="s">
        <v>94</v>
      </c>
      <c r="C28" s="289" t="s">
        <v>95</v>
      </c>
      <c r="D28" s="253"/>
      <c r="E28" s="253"/>
      <c r="F28" s="52">
        <v>0.05</v>
      </c>
      <c r="G28" s="52"/>
      <c r="H28" s="174">
        <f>H27*F28</f>
        <v>587.60625000000005</v>
      </c>
      <c r="I28" s="296">
        <f t="shared" si="4"/>
        <v>641.84230687500008</v>
      </c>
      <c r="K28" s="76"/>
      <c r="L28" s="5"/>
      <c r="M28" s="5"/>
      <c r="N28" s="5"/>
      <c r="O28" s="5"/>
      <c r="P28" s="5"/>
      <c r="Q28" s="5"/>
      <c r="R28" s="5"/>
      <c r="S28" s="3"/>
      <c r="T28" s="5"/>
      <c r="U28" s="3"/>
      <c r="V28" s="5"/>
      <c r="W28" s="5"/>
      <c r="X28" s="5"/>
      <c r="Y28" s="5"/>
      <c r="Z28" s="5"/>
      <c r="AA28" s="5"/>
      <c r="AB28" s="5"/>
      <c r="AC28" s="5"/>
      <c r="AD28" s="5"/>
      <c r="AE28" s="6"/>
      <c r="AF28" s="1"/>
      <c r="AG28"/>
      <c r="AH28"/>
      <c r="AI28"/>
      <c r="AJ28"/>
    </row>
    <row r="29" spans="1:36" s="4" customFormat="1" ht="15" customHeight="1" thickTop="1" x14ac:dyDescent="0.25">
      <c r="A29" s="2"/>
      <c r="B29" s="39"/>
      <c r="C29" s="22"/>
      <c r="D29" s="17"/>
      <c r="F29" s="7"/>
      <c r="G29" s="7"/>
      <c r="H29" s="7"/>
      <c r="I29" s="183"/>
      <c r="K29" s="76"/>
      <c r="L29" s="5"/>
      <c r="M29" s="5"/>
      <c r="N29" s="5"/>
      <c r="O29" s="5"/>
      <c r="P29" s="5"/>
      <c r="Q29" s="5"/>
      <c r="R29" s="5"/>
      <c r="S29" s="3"/>
      <c r="T29" s="5"/>
      <c r="U29" s="3"/>
      <c r="V29" s="5"/>
      <c r="W29" s="5"/>
      <c r="X29" s="5"/>
      <c r="Y29" s="5"/>
      <c r="Z29" s="5"/>
      <c r="AA29" s="5"/>
      <c r="AB29" s="5"/>
      <c r="AC29" s="5"/>
      <c r="AD29" s="5"/>
      <c r="AE29" s="6"/>
      <c r="AF29" s="1"/>
      <c r="AG29"/>
      <c r="AH29"/>
      <c r="AI29"/>
      <c r="AJ29"/>
    </row>
    <row r="30" spans="1:36" s="4" customFormat="1" ht="15" customHeight="1" thickBot="1" x14ac:dyDescent="0.3">
      <c r="A30" s="2"/>
      <c r="B30" s="43" t="s">
        <v>96</v>
      </c>
      <c r="C30" s="44"/>
      <c r="D30" s="45"/>
      <c r="E30" s="184"/>
      <c r="F30" s="46"/>
      <c r="G30" s="46"/>
      <c r="H30" s="46">
        <f>SUM(H26,H27,H28)</f>
        <v>59348.231249999997</v>
      </c>
      <c r="I30" s="107">
        <f>H30*1.0923</f>
        <v>64826.072994374998</v>
      </c>
      <c r="K30" s="76"/>
      <c r="L30" s="5"/>
      <c r="M30" s="5"/>
      <c r="N30" s="5"/>
      <c r="O30" s="5"/>
      <c r="P30" s="5"/>
      <c r="Q30" s="5"/>
      <c r="R30" s="5"/>
      <c r="S30" s="3"/>
      <c r="T30" s="5"/>
      <c r="U30" s="3"/>
      <c r="V30" s="5"/>
      <c r="W30" s="5"/>
      <c r="X30" s="5"/>
      <c r="Y30" s="5"/>
      <c r="Z30" s="5"/>
      <c r="AA30" s="5"/>
      <c r="AB30" s="5"/>
      <c r="AC30" s="5"/>
      <c r="AD30" s="5"/>
      <c r="AE30" s="6"/>
      <c r="AF30" s="1"/>
      <c r="AG30"/>
      <c r="AH30"/>
      <c r="AI30"/>
      <c r="AJ30"/>
    </row>
    <row r="31" spans="1:36" ht="15.75" thickTop="1" x14ac:dyDescent="0.25">
      <c r="E31" s="185"/>
      <c r="K31" s="76"/>
    </row>
    <row r="32" spans="1:36" x14ac:dyDescent="0.25">
      <c r="K32" s="76"/>
    </row>
    <row r="33" spans="11:11" x14ac:dyDescent="0.25">
      <c r="K33" s="76"/>
    </row>
    <row r="34" spans="11:11" x14ac:dyDescent="0.25">
      <c r="K34" s="76"/>
    </row>
    <row r="35" spans="11:11" x14ac:dyDescent="0.25">
      <c r="K35" s="76"/>
    </row>
    <row r="36" spans="11:11" x14ac:dyDescent="0.25">
      <c r="K36" s="76"/>
    </row>
    <row r="37" spans="11:11" x14ac:dyDescent="0.25">
      <c r="K37" s="76"/>
    </row>
    <row r="38" spans="11:11" x14ac:dyDescent="0.25">
      <c r="K38" s="76"/>
    </row>
  </sheetData>
  <mergeCells count="6">
    <mergeCell ref="C28:E28"/>
    <mergeCell ref="C23:E23"/>
    <mergeCell ref="C25:E25"/>
    <mergeCell ref="C27:E27"/>
    <mergeCell ref="B2:I2"/>
    <mergeCell ref="B3:I3"/>
  </mergeCells>
  <dataValidations count="6">
    <dataValidation allowBlank="1" showInputMessage="1" showErrorMessage="1" prompt="Shared lanes are roadways where bicycle traffic and motor vehicle traffic share the same travel lane. Shared lanes have no physical features which create a more inviting cycling experience and are not suitable for most people bicycling." sqref="B2" xr:uid="{4AC7A6BA-D46F-4282-BBD3-15E3CEB606E9}"/>
    <dataValidation allowBlank="1" showInputMessage="1" showErrorMessage="1" prompt="To further improve LTS on shared lanes, see the BIKE BLVD tab for traffic calming features.  Shared lanes with an acceptable LTS must have very low traffic volumes (&lt;1000 ADT) and low motor vehicle operating speeds (&lt;25 mph)." sqref="B3" xr:uid="{BEDF62B9-1DAC-4609-87C6-CEDB16803826}"/>
    <dataValidation allowBlank="1" showInputMessage="1" showErrorMessage="1" promptTitle="Bike Lane Ahead" prompt="Enter additional quanities for this type of sign, if desired or required." sqref="E17" xr:uid="{F4465232-EC2F-4FF2-8273-70297BCA59AF}"/>
    <dataValidation allowBlank="1" showInputMessage="1" showErrorMessage="1" promptTitle="Bike Lane Ends" prompt="Enter additional quanities for this type of sign, if desired or required." sqref="E18" xr:uid="{CBC73159-AC2B-462D-A343-263838CB18C9}"/>
    <dataValidation allowBlank="1" showInputMessage="1" showErrorMessage="1" promptTitle="Bikes May Use Full Lane" prompt="Enter additional quanities for this type of sign, if desired or required." sqref="E19" xr:uid="{DBB03566-D267-4FBF-989C-7C9CFFAC8D37}"/>
    <dataValidation allowBlank="1" showInputMessage="1" showErrorMessage="1" prompt="2025 cost values are estimated by applying a 9.23% inflation rate to 2022 costs." sqref="G10 I10 I15 G15" xr:uid="{9ACEE0B8-8A6F-4580-B115-3CAD1B139432}"/>
  </dataValidations>
  <pageMargins left="0.25" right="0.25" top="0.75" bottom="0.75" header="0.3" footer="0.3"/>
  <pageSetup paperSize="3" scale="78" fitToHeight="0" orientation="landscape" r:id="rId1"/>
  <ignoredErrors>
    <ignoredError sqref="H26 H11:H2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EA4BD-C6D7-479E-A486-0D1D119891B3}">
  <sheetPr>
    <pageSetUpPr fitToPage="1"/>
  </sheetPr>
  <dimension ref="A1:AJ31"/>
  <sheetViews>
    <sheetView zoomScaleNormal="100" workbookViewId="0">
      <selection activeCell="E19" sqref="E19"/>
    </sheetView>
  </sheetViews>
  <sheetFormatPr defaultRowHeight="15" x14ac:dyDescent="0.25"/>
  <cols>
    <col min="1" max="1" width="8.5703125" style="2" customWidth="1"/>
    <col min="2" max="2" width="24.5703125" style="1" customWidth="1"/>
    <col min="3" max="3" width="13.5703125" style="4" customWidth="1"/>
    <col min="4" max="4" width="8.5703125" style="4" customWidth="1"/>
    <col min="5" max="5" width="12.42578125" style="3" customWidth="1"/>
    <col min="6" max="6" width="12" style="3" hidden="1" customWidth="1"/>
    <col min="7" max="7" width="12" style="3" customWidth="1"/>
    <col min="8" max="8" width="11.140625" style="3" hidden="1" customWidth="1"/>
    <col min="9" max="9" width="11.140625" style="3" customWidth="1"/>
    <col min="10" max="10" width="13.85546875" style="4" customWidth="1"/>
    <col min="11" max="11" width="25.42578125" style="5" customWidth="1"/>
    <col min="12" max="12" width="12.570312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57.95" customHeight="1" x14ac:dyDescent="0.25">
      <c r="A2" s="10"/>
      <c r="B2" s="256" t="s">
        <v>102</v>
      </c>
      <c r="C2" s="257"/>
      <c r="D2" s="257"/>
      <c r="E2" s="257"/>
      <c r="F2" s="257"/>
      <c r="G2" s="257"/>
      <c r="H2" s="257"/>
      <c r="I2" s="258"/>
      <c r="J2" s="10"/>
      <c r="K2" s="121" t="s">
        <v>98</v>
      </c>
    </row>
    <row r="3" spans="1:36" s="5" customFormat="1" ht="15.75" customHeight="1" thickBot="1" x14ac:dyDescent="0.3">
      <c r="A3" s="10"/>
      <c r="B3" s="262" t="s">
        <v>99</v>
      </c>
      <c r="C3" s="263"/>
      <c r="D3" s="263"/>
      <c r="E3" s="263"/>
      <c r="F3" s="263"/>
      <c r="G3" s="263"/>
      <c r="H3" s="263"/>
      <c r="I3" s="265"/>
      <c r="J3" s="10"/>
      <c r="K3" s="10"/>
      <c r="S3" s="3"/>
      <c r="U3" s="3"/>
      <c r="AE3" s="6"/>
      <c r="AF3" s="1"/>
      <c r="AG3"/>
      <c r="AH3"/>
      <c r="AI3"/>
      <c r="AJ3"/>
    </row>
    <row r="4" spans="1:36" s="5" customFormat="1" x14ac:dyDescent="0.25">
      <c r="A4" s="10"/>
      <c r="B4" s="272" t="s">
        <v>48</v>
      </c>
      <c r="C4" s="60"/>
      <c r="D4" s="60"/>
      <c r="E4" s="293" t="s">
        <v>49</v>
      </c>
      <c r="F4" s="30"/>
      <c r="G4" s="30"/>
      <c r="H4" s="138"/>
      <c r="I4" s="187"/>
      <c r="J4" s="188"/>
      <c r="K4" s="10"/>
      <c r="S4" s="3"/>
      <c r="U4" s="3"/>
      <c r="AE4" s="6"/>
      <c r="AF4" s="1"/>
      <c r="AG4"/>
      <c r="AH4"/>
      <c r="AI4"/>
      <c r="AJ4"/>
    </row>
    <row r="5" spans="1:36" s="5" customFormat="1" ht="20.100000000000001" customHeight="1" x14ac:dyDescent="0.25">
      <c r="A5" s="10"/>
      <c r="B5" s="31" t="s">
        <v>50</v>
      </c>
      <c r="C5" s="21" t="s">
        <v>51</v>
      </c>
      <c r="E5" s="24">
        <f>E6*5280</f>
        <v>7920</v>
      </c>
      <c r="F5" s="21"/>
      <c r="G5" s="21"/>
      <c r="H5" s="186"/>
      <c r="I5" s="32"/>
      <c r="J5" s="10"/>
      <c r="K5" s="10"/>
      <c r="S5" s="3"/>
      <c r="U5" s="3"/>
      <c r="AE5" s="6"/>
      <c r="AF5" s="1"/>
      <c r="AG5"/>
      <c r="AH5"/>
      <c r="AI5"/>
      <c r="AJ5"/>
    </row>
    <row r="6" spans="1:36" s="5" customFormat="1" ht="15.75" x14ac:dyDescent="0.25">
      <c r="A6" s="10"/>
      <c r="B6" s="31" t="s">
        <v>50</v>
      </c>
      <c r="C6" s="21" t="s">
        <v>52</v>
      </c>
      <c r="E6" s="117">
        <v>1.5</v>
      </c>
      <c r="F6" s="21"/>
      <c r="G6" s="21"/>
      <c r="H6" s="19"/>
      <c r="I6" s="32"/>
      <c r="J6" s="10"/>
      <c r="K6" s="10"/>
      <c r="S6" s="3"/>
      <c r="U6" s="3"/>
      <c r="AE6" s="6"/>
      <c r="AF6" s="1"/>
      <c r="AG6"/>
      <c r="AH6"/>
      <c r="AI6"/>
      <c r="AJ6"/>
    </row>
    <row r="7" spans="1:36" s="5" customFormat="1" ht="15.75" x14ac:dyDescent="0.25">
      <c r="A7" s="10"/>
      <c r="B7" s="33" t="s">
        <v>53</v>
      </c>
      <c r="C7" s="2" t="s">
        <v>54</v>
      </c>
      <c r="E7" s="118">
        <v>12</v>
      </c>
      <c r="F7" s="7"/>
      <c r="G7" s="7"/>
      <c r="H7" s="19"/>
      <c r="I7" s="32"/>
      <c r="J7" s="10"/>
      <c r="K7" s="10"/>
      <c r="S7" s="3"/>
      <c r="U7" s="3"/>
      <c r="AE7" s="6"/>
      <c r="AF7" s="1"/>
      <c r="AG7"/>
      <c r="AH7"/>
      <c r="AI7"/>
      <c r="AJ7"/>
    </row>
    <row r="8" spans="1:36" s="5" customFormat="1" ht="17.100000000000001" customHeight="1" x14ac:dyDescent="0.25">
      <c r="A8" s="10"/>
      <c r="B8" s="34" t="s">
        <v>55</v>
      </c>
      <c r="C8" s="64" t="s">
        <v>51</v>
      </c>
      <c r="E8" s="118">
        <v>40</v>
      </c>
      <c r="F8" s="7"/>
      <c r="G8" s="7"/>
      <c r="H8" s="19"/>
      <c r="I8" s="32"/>
      <c r="J8" s="10"/>
      <c r="K8" s="10"/>
      <c r="S8" s="3"/>
      <c r="U8" s="3"/>
      <c r="AE8" s="6"/>
      <c r="AF8" s="1"/>
      <c r="AG8"/>
      <c r="AH8"/>
      <c r="AI8"/>
      <c r="AJ8"/>
    </row>
    <row r="9" spans="1:36" s="5" customFormat="1" ht="15.75" x14ac:dyDescent="0.25">
      <c r="A9" s="10"/>
      <c r="B9" s="34"/>
      <c r="C9" s="64"/>
      <c r="E9" s="24"/>
      <c r="F9" s="37"/>
      <c r="G9" s="37"/>
      <c r="H9" s="19"/>
      <c r="I9" s="32"/>
      <c r="J9" s="10"/>
      <c r="K9" s="10"/>
      <c r="S9" s="3"/>
      <c r="U9" s="3"/>
      <c r="AE9" s="6"/>
      <c r="AF9" s="1"/>
      <c r="AG9"/>
      <c r="AH9"/>
      <c r="AI9"/>
      <c r="AJ9"/>
    </row>
    <row r="10" spans="1:36" s="5" customFormat="1" ht="30" x14ac:dyDescent="0.25">
      <c r="A10" s="10"/>
      <c r="B10" s="274" t="s">
        <v>56</v>
      </c>
      <c r="C10" s="65"/>
      <c r="D10" s="70"/>
      <c r="E10" s="278" t="s">
        <v>49</v>
      </c>
      <c r="F10" s="20" t="s">
        <v>57</v>
      </c>
      <c r="G10" s="281" t="s">
        <v>58</v>
      </c>
      <c r="H10" s="20" t="s">
        <v>59</v>
      </c>
      <c r="I10" s="281" t="s">
        <v>60</v>
      </c>
      <c r="J10" s="10"/>
      <c r="K10" s="10"/>
      <c r="S10" s="3"/>
      <c r="U10" s="3"/>
      <c r="AE10" s="6"/>
      <c r="AF10" s="1"/>
      <c r="AG10"/>
      <c r="AH10"/>
      <c r="AI10"/>
      <c r="AJ10"/>
    </row>
    <row r="11" spans="1:36" s="5" customFormat="1" ht="15.75" x14ac:dyDescent="0.25">
      <c r="A11" s="10"/>
      <c r="B11" s="34" t="s">
        <v>61</v>
      </c>
      <c r="C11" s="64" t="s">
        <v>54</v>
      </c>
      <c r="E11" s="24">
        <f>E5/300+E7</f>
        <v>38.4</v>
      </c>
      <c r="F11" s="37">
        <v>500</v>
      </c>
      <c r="G11" s="37">
        <f>F11*1.0923</f>
        <v>546.15</v>
      </c>
      <c r="H11" s="19">
        <f>E11*F11</f>
        <v>19200</v>
      </c>
      <c r="I11" s="32">
        <f>H11*1.0923</f>
        <v>20972.16</v>
      </c>
      <c r="J11" s="10"/>
      <c r="K11" s="10"/>
      <c r="S11" s="3"/>
      <c r="U11" s="3"/>
      <c r="AE11" s="6"/>
      <c r="AF11" s="1"/>
      <c r="AG11"/>
      <c r="AH11"/>
      <c r="AI11"/>
      <c r="AJ11"/>
    </row>
    <row r="12" spans="1:36" s="5" customFormat="1" ht="30" x14ac:dyDescent="0.25">
      <c r="A12" s="10"/>
      <c r="B12" s="61" t="s">
        <v>62</v>
      </c>
      <c r="C12" s="64" t="s">
        <v>51</v>
      </c>
      <c r="E12" s="24">
        <f>E5-(E7*E8)</f>
        <v>7440</v>
      </c>
      <c r="F12" s="37">
        <v>20</v>
      </c>
      <c r="G12" s="37">
        <f t="shared" ref="G12:G14" si="0">F12*1.0923</f>
        <v>21.846</v>
      </c>
      <c r="H12" s="19">
        <f>E12*F12</f>
        <v>148800</v>
      </c>
      <c r="I12" s="32">
        <f t="shared" ref="I12:I14" si="1">H12*1.0923</f>
        <v>162534.24000000002</v>
      </c>
      <c r="J12" s="10"/>
      <c r="K12" s="10"/>
      <c r="S12" s="3"/>
      <c r="U12" s="3"/>
      <c r="AE12" s="6"/>
      <c r="AF12" s="1"/>
      <c r="AG12"/>
      <c r="AH12"/>
      <c r="AI12"/>
      <c r="AJ12"/>
    </row>
    <row r="13" spans="1:36" s="5" customFormat="1" ht="30" x14ac:dyDescent="0.25">
      <c r="A13" s="10"/>
      <c r="B13" s="61" t="s">
        <v>64</v>
      </c>
      <c r="C13" s="64" t="s">
        <v>51</v>
      </c>
      <c r="D13" s="24"/>
      <c r="E13" s="119">
        <v>0</v>
      </c>
      <c r="F13" s="37">
        <v>20</v>
      </c>
      <c r="G13" s="37">
        <f t="shared" si="0"/>
        <v>21.846</v>
      </c>
      <c r="H13" s="19">
        <f>E13*F13</f>
        <v>0</v>
      </c>
      <c r="I13" s="32">
        <f t="shared" si="1"/>
        <v>0</v>
      </c>
      <c r="J13" s="10"/>
      <c r="K13" s="10"/>
      <c r="S13" s="3"/>
      <c r="U13" s="3"/>
      <c r="AE13" s="6"/>
      <c r="AF13" s="1"/>
      <c r="AG13"/>
      <c r="AH13"/>
      <c r="AI13"/>
      <c r="AJ13"/>
    </row>
    <row r="14" spans="1:36" s="5" customFormat="1" ht="15.75" x14ac:dyDescent="0.25">
      <c r="A14" s="10"/>
      <c r="B14" s="61" t="s">
        <v>65</v>
      </c>
      <c r="C14" s="64" t="s">
        <v>66</v>
      </c>
      <c r="D14" s="24"/>
      <c r="E14" s="24">
        <f>E7*E8*6</f>
        <v>2880</v>
      </c>
      <c r="F14" s="37">
        <v>20</v>
      </c>
      <c r="G14" s="37">
        <f t="shared" si="0"/>
        <v>21.846</v>
      </c>
      <c r="H14" s="19">
        <f>E14*F14</f>
        <v>57600</v>
      </c>
      <c r="I14" s="32">
        <f t="shared" si="1"/>
        <v>62916.480000000003</v>
      </c>
      <c r="J14" s="10"/>
      <c r="K14" s="10"/>
      <c r="S14" s="3"/>
      <c r="U14" s="3"/>
      <c r="AE14" s="6"/>
      <c r="AF14" s="1"/>
      <c r="AG14"/>
      <c r="AH14"/>
      <c r="AI14"/>
      <c r="AJ14"/>
    </row>
    <row r="15" spans="1:36" ht="30" x14ac:dyDescent="0.25">
      <c r="B15" s="274" t="s">
        <v>67</v>
      </c>
      <c r="C15" s="278" t="s">
        <v>68</v>
      </c>
      <c r="D15" s="279" t="s">
        <v>69</v>
      </c>
      <c r="E15" s="280" t="s">
        <v>49</v>
      </c>
      <c r="F15" s="20" t="s">
        <v>57</v>
      </c>
      <c r="G15" s="281" t="s">
        <v>58</v>
      </c>
      <c r="H15" s="20" t="s">
        <v>59</v>
      </c>
      <c r="I15" s="281" t="s">
        <v>60</v>
      </c>
      <c r="K15" s="76"/>
    </row>
    <row r="16" spans="1:36" ht="15.75" x14ac:dyDescent="0.25">
      <c r="B16" s="71" t="s">
        <v>70</v>
      </c>
      <c r="C16" s="36" t="s">
        <v>71</v>
      </c>
      <c r="D16" s="24">
        <v>3</v>
      </c>
      <c r="E16" s="36">
        <f>E6*2+E7+2</f>
        <v>17</v>
      </c>
      <c r="F16" s="37">
        <v>50</v>
      </c>
      <c r="G16" s="37">
        <f>F16*1.0923</f>
        <v>54.615000000000002</v>
      </c>
      <c r="H16" s="37">
        <f>D16*E16*F16</f>
        <v>2550</v>
      </c>
      <c r="I16" s="38">
        <f>H16*1.0923</f>
        <v>2785.3650000000002</v>
      </c>
      <c r="K16" s="76"/>
    </row>
    <row r="17" spans="2:11" ht="30" x14ac:dyDescent="0.25">
      <c r="B17" s="71" t="s">
        <v>72</v>
      </c>
      <c r="C17" s="36" t="s">
        <v>73</v>
      </c>
      <c r="D17" s="62">
        <v>1.3</v>
      </c>
      <c r="E17" s="123">
        <v>0</v>
      </c>
      <c r="F17" s="37">
        <v>50</v>
      </c>
      <c r="G17" s="37">
        <f t="shared" ref="G17:G20" si="2">F17*1.0923</f>
        <v>54.615000000000002</v>
      </c>
      <c r="H17" s="37">
        <f>D17*E17*F17</f>
        <v>0</v>
      </c>
      <c r="I17" s="38">
        <f t="shared" ref="I17:I20" si="3">H17*1.0923</f>
        <v>0</v>
      </c>
      <c r="K17" s="76"/>
    </row>
    <row r="18" spans="2:11" x14ac:dyDescent="0.25">
      <c r="B18" s="71" t="s">
        <v>74</v>
      </c>
      <c r="C18" s="36" t="s">
        <v>73</v>
      </c>
      <c r="D18" s="62">
        <v>1.3</v>
      </c>
      <c r="E18" s="123">
        <v>0</v>
      </c>
      <c r="F18" s="37">
        <v>50</v>
      </c>
      <c r="G18" s="37">
        <f t="shared" si="2"/>
        <v>54.615000000000002</v>
      </c>
      <c r="H18" s="37">
        <f t="shared" ref="H18:H20" si="4">D18*E18*F18</f>
        <v>0</v>
      </c>
      <c r="I18" s="38">
        <f t="shared" si="3"/>
        <v>0</v>
      </c>
      <c r="K18" s="76"/>
    </row>
    <row r="19" spans="2:11" ht="30" x14ac:dyDescent="0.25">
      <c r="B19" s="71" t="s">
        <v>75</v>
      </c>
      <c r="C19" s="36" t="s">
        <v>76</v>
      </c>
      <c r="D19" s="62">
        <v>7.5</v>
      </c>
      <c r="E19" s="62">
        <f>E7</f>
        <v>12</v>
      </c>
      <c r="F19" s="37">
        <v>50</v>
      </c>
      <c r="G19" s="37">
        <f t="shared" si="2"/>
        <v>54.615000000000002</v>
      </c>
      <c r="H19" s="37">
        <f t="shared" si="4"/>
        <v>4500</v>
      </c>
      <c r="I19" s="38">
        <f t="shared" si="3"/>
        <v>4915.3500000000004</v>
      </c>
      <c r="K19" s="76"/>
    </row>
    <row r="20" spans="2:11" ht="30" x14ac:dyDescent="0.25">
      <c r="B20" s="71" t="s">
        <v>77</v>
      </c>
      <c r="C20" s="36" t="s">
        <v>78</v>
      </c>
      <c r="D20" s="62">
        <v>6.25</v>
      </c>
      <c r="E20" s="119">
        <v>0</v>
      </c>
      <c r="F20" s="37">
        <v>50</v>
      </c>
      <c r="G20" s="37">
        <f t="shared" si="2"/>
        <v>54.615000000000002</v>
      </c>
      <c r="H20" s="37">
        <f t="shared" si="4"/>
        <v>0</v>
      </c>
      <c r="I20" s="38">
        <f t="shared" si="3"/>
        <v>0</v>
      </c>
      <c r="K20" s="76"/>
    </row>
    <row r="21" spans="2:11" ht="15" customHeight="1" x14ac:dyDescent="0.25">
      <c r="B21" s="270" t="s">
        <v>87</v>
      </c>
      <c r="C21" s="47"/>
      <c r="D21" s="48"/>
      <c r="E21" s="49"/>
      <c r="F21" s="50"/>
      <c r="G21" s="50"/>
      <c r="H21" s="50">
        <f>SUM(H11:H20)</f>
        <v>232650</v>
      </c>
      <c r="I21" s="271">
        <f>H21*1.0923</f>
        <v>254123.595</v>
      </c>
      <c r="K21" s="76"/>
    </row>
    <row r="22" spans="2:11" ht="15" customHeight="1" x14ac:dyDescent="0.25">
      <c r="B22" s="41"/>
      <c r="C22" s="25"/>
      <c r="D22" s="26"/>
      <c r="E22" s="27"/>
      <c r="F22" s="28"/>
      <c r="G22" s="28"/>
      <c r="H22" s="28"/>
      <c r="I22" s="40"/>
      <c r="K22" s="76"/>
    </row>
    <row r="23" spans="2:11" ht="15" customHeight="1" x14ac:dyDescent="0.25">
      <c r="B23" s="282" t="s">
        <v>88</v>
      </c>
      <c r="C23" s="283" t="s">
        <v>89</v>
      </c>
      <c r="D23" s="254"/>
      <c r="E23" s="254"/>
      <c r="F23" s="51">
        <v>0.1</v>
      </c>
      <c r="G23" s="51"/>
      <c r="H23" s="134">
        <f>H21*F23</f>
        <v>23265</v>
      </c>
      <c r="I23" s="286">
        <f t="shared" ref="I23:I28" si="5">H23*1.0923</f>
        <v>25412.359500000002</v>
      </c>
      <c r="K23" s="76"/>
    </row>
    <row r="24" spans="2:11" ht="15" customHeight="1" x14ac:dyDescent="0.25">
      <c r="B24" s="41" t="s">
        <v>90</v>
      </c>
      <c r="C24" s="25"/>
      <c r="D24" s="66"/>
      <c r="E24" s="67"/>
      <c r="F24" s="29"/>
      <c r="G24" s="29"/>
      <c r="H24" s="28">
        <f>SUM(H21:H23)</f>
        <v>255915</v>
      </c>
      <c r="I24" s="40">
        <f t="shared" si="5"/>
        <v>279535.95449999999</v>
      </c>
      <c r="K24" s="76"/>
    </row>
    <row r="25" spans="2:11" ht="15" customHeight="1" x14ac:dyDescent="0.25">
      <c r="B25" s="284" t="s">
        <v>91</v>
      </c>
      <c r="C25" s="285" t="s">
        <v>89</v>
      </c>
      <c r="D25" s="255"/>
      <c r="E25" s="255"/>
      <c r="F25" s="53">
        <v>0.1</v>
      </c>
      <c r="G25" s="53"/>
      <c r="H25" s="172">
        <f>H24*F25</f>
        <v>25591.5</v>
      </c>
      <c r="I25" s="286">
        <f t="shared" si="5"/>
        <v>27953.595450000001</v>
      </c>
      <c r="K25" s="76"/>
    </row>
    <row r="26" spans="2:11" ht="15" customHeight="1" thickBot="1" x14ac:dyDescent="0.3">
      <c r="B26" s="54" t="s">
        <v>87</v>
      </c>
      <c r="C26" s="55"/>
      <c r="D26" s="68"/>
      <c r="E26" s="69"/>
      <c r="F26" s="56"/>
      <c r="G26" s="56"/>
      <c r="H26" s="173">
        <f>SUM(H24:H25)</f>
        <v>281506.5</v>
      </c>
      <c r="I26" s="57">
        <f t="shared" si="5"/>
        <v>307489.54995000002</v>
      </c>
      <c r="K26" s="76"/>
    </row>
    <row r="27" spans="2:11" ht="15" customHeight="1" thickTop="1" x14ac:dyDescent="0.25">
      <c r="B27" s="282" t="s">
        <v>92</v>
      </c>
      <c r="C27" s="287" t="s">
        <v>93</v>
      </c>
      <c r="D27" s="252"/>
      <c r="E27" s="252"/>
      <c r="F27" s="51">
        <v>0.25</v>
      </c>
      <c r="G27" s="51"/>
      <c r="H27" s="180">
        <f>H26*F27</f>
        <v>70376.625</v>
      </c>
      <c r="I27" s="295">
        <f t="shared" si="5"/>
        <v>76872.387487500004</v>
      </c>
      <c r="K27" s="76"/>
    </row>
    <row r="28" spans="2:11" ht="15" customHeight="1" thickBot="1" x14ac:dyDescent="0.3">
      <c r="B28" s="288" t="s">
        <v>94</v>
      </c>
      <c r="C28" s="289" t="s">
        <v>103</v>
      </c>
      <c r="D28" s="253"/>
      <c r="E28" s="253"/>
      <c r="F28" s="52">
        <v>0.1</v>
      </c>
      <c r="G28" s="52"/>
      <c r="H28" s="174">
        <f>H27*F28</f>
        <v>7037.6625000000004</v>
      </c>
      <c r="I28" s="296">
        <f t="shared" si="5"/>
        <v>7687.2387487500009</v>
      </c>
      <c r="K28" s="76"/>
    </row>
    <row r="29" spans="2:11" ht="15" customHeight="1" thickTop="1" x14ac:dyDescent="0.25">
      <c r="B29" s="39"/>
      <c r="C29" s="22"/>
      <c r="D29" s="17"/>
      <c r="E29" s="4"/>
      <c r="F29" s="7"/>
      <c r="G29" s="7"/>
      <c r="H29" s="7"/>
      <c r="I29" s="183"/>
      <c r="K29" s="76"/>
    </row>
    <row r="30" spans="2:11" ht="15" customHeight="1" thickBot="1" x14ac:dyDescent="0.3">
      <c r="B30" s="43" t="s">
        <v>96</v>
      </c>
      <c r="C30" s="44"/>
      <c r="D30" s="45"/>
      <c r="E30" s="13"/>
      <c r="F30" s="46"/>
      <c r="G30" s="46"/>
      <c r="H30" s="46">
        <f>SUM(H26,H27,H28)</f>
        <v>358920.78749999998</v>
      </c>
      <c r="I30" s="178">
        <f>H30*1.0923</f>
        <v>392049.17618625</v>
      </c>
      <c r="K30" s="76"/>
    </row>
    <row r="31" spans="2:11" x14ac:dyDescent="0.25">
      <c r="I31" s="176"/>
    </row>
  </sheetData>
  <mergeCells count="6">
    <mergeCell ref="C28:E28"/>
    <mergeCell ref="C23:E23"/>
    <mergeCell ref="C25:E25"/>
    <mergeCell ref="C27:E27"/>
    <mergeCell ref="B2:I2"/>
    <mergeCell ref="B3:I3"/>
  </mergeCells>
  <dataValidations count="5">
    <dataValidation allowBlank="1" showInputMessage="1" showErrorMessage="1" promptTitle="Green pavement marking" prompt="Green pavement marking is used to highlight conflict zones through intersections.  For this quantity, green pavement is calculated for each intersection and 10' to both sides of the intersection._x000a_" sqref="E14" xr:uid="{1F3753D5-868F-4BAE-956E-0E782784DD56}"/>
    <dataValidation allowBlank="1" showInputMessage="1" showErrorMessage="1" promptTitle="Bike Lane Ahead" prompt="Enter additional quanities for this type of sign, if desired or required." sqref="E17" xr:uid="{7E136B88-12BC-40F9-A0D2-DD9015E2E71C}"/>
    <dataValidation allowBlank="1" showInputMessage="1" showErrorMessage="1" promptTitle="Bike Lane Ends" prompt="Enter additional quanities for this type of sign, if desired or required." sqref="E18" xr:uid="{A4A30D44-0013-44F0-B2F0-7049A215F2EA}"/>
    <dataValidation allowBlank="1" showInputMessage="1" showErrorMessage="1" promptTitle="Bikes May Use Full Lane" prompt="Enter additional quanities for this type of sign, if desired or required." sqref="E20" xr:uid="{51788929-CC91-4566-B17F-2E4D4F116584}"/>
    <dataValidation allowBlank="1" showInputMessage="1" showErrorMessage="1" prompt="2025 cost values are estimated by applying a 9.23% inflation rate to 2022 costs." sqref="G10 I10 G15 I15" xr:uid="{2663EECA-2ABD-4F3C-AA3E-596450773D0C}"/>
  </dataValidations>
  <pageMargins left="0.25" right="0.25" top="0.75" bottom="0.75" header="0.3" footer="0.3"/>
  <pageSetup paperSize="3" scale="78" fitToHeight="0" orientation="landscape" r:id="rId1"/>
  <ignoredErrors>
    <ignoredError sqref="H26 H11:H14 H17:H2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337B0-8846-4473-A133-F116A2050E5D}">
  <sheetPr>
    <pageSetUpPr fitToPage="1"/>
  </sheetPr>
  <dimension ref="A1:AJ30"/>
  <sheetViews>
    <sheetView zoomScaleNormal="100" workbookViewId="0">
      <selection activeCell="E19" sqref="E19"/>
    </sheetView>
  </sheetViews>
  <sheetFormatPr defaultRowHeight="15" x14ac:dyDescent="0.25"/>
  <cols>
    <col min="1" max="1" width="8.5703125" style="2" customWidth="1"/>
    <col min="2" max="2" width="26" style="1" customWidth="1"/>
    <col min="3" max="3" width="13.140625" style="4" customWidth="1"/>
    <col min="4" max="4" width="8.5703125" style="4" customWidth="1"/>
    <col min="5" max="5" width="12.42578125" style="3" customWidth="1"/>
    <col min="6" max="6" width="12" style="3" hidden="1" customWidth="1"/>
    <col min="7" max="7" width="12" style="3" customWidth="1"/>
    <col min="8" max="8" width="11.140625" style="3" hidden="1" customWidth="1"/>
    <col min="9" max="9" width="11.140625" style="3" customWidth="1"/>
    <col min="10" max="10" width="13.85546875" style="4" customWidth="1"/>
    <col min="11" max="11" width="25.5703125" style="5" customWidth="1"/>
    <col min="12" max="12" width="12.570312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57.95" customHeight="1" x14ac:dyDescent="0.25">
      <c r="A2" s="10"/>
      <c r="B2" s="256" t="s">
        <v>104</v>
      </c>
      <c r="C2" s="257"/>
      <c r="D2" s="257"/>
      <c r="E2" s="257"/>
      <c r="F2" s="257"/>
      <c r="G2" s="257"/>
      <c r="H2" s="257"/>
      <c r="I2" s="258"/>
      <c r="J2" s="10"/>
      <c r="K2" s="121" t="s">
        <v>98</v>
      </c>
    </row>
    <row r="3" spans="1:36" s="5" customFormat="1" ht="15.75" customHeight="1" thickBot="1" x14ac:dyDescent="0.3">
      <c r="A3" s="10"/>
      <c r="B3" s="262" t="s">
        <v>99</v>
      </c>
      <c r="C3" s="263"/>
      <c r="D3" s="263"/>
      <c r="E3" s="263"/>
      <c r="F3" s="263"/>
      <c r="G3" s="263"/>
      <c r="H3" s="263"/>
      <c r="I3" s="264"/>
      <c r="J3" s="10"/>
      <c r="K3" s="10"/>
      <c r="S3" s="3"/>
      <c r="U3" s="3"/>
      <c r="AE3" s="6"/>
      <c r="AF3" s="1"/>
      <c r="AG3"/>
      <c r="AH3"/>
      <c r="AI3"/>
      <c r="AJ3"/>
    </row>
    <row r="4" spans="1:36" s="5" customFormat="1" x14ac:dyDescent="0.25">
      <c r="A4" s="10"/>
      <c r="B4" s="272" t="s">
        <v>48</v>
      </c>
      <c r="C4" s="60"/>
      <c r="D4" s="60"/>
      <c r="E4" s="293" t="s">
        <v>49</v>
      </c>
      <c r="F4" s="30"/>
      <c r="G4" s="30"/>
      <c r="H4" s="138"/>
      <c r="I4" s="181"/>
      <c r="J4" s="10"/>
      <c r="K4" s="10"/>
      <c r="S4" s="3"/>
      <c r="U4" s="3"/>
      <c r="AE4" s="6"/>
      <c r="AF4" s="1"/>
      <c r="AG4"/>
      <c r="AH4"/>
      <c r="AI4"/>
      <c r="AJ4"/>
    </row>
    <row r="5" spans="1:36" s="5" customFormat="1" ht="23.1" customHeight="1" x14ac:dyDescent="0.25">
      <c r="A5" s="10"/>
      <c r="B5" s="31" t="s">
        <v>50</v>
      </c>
      <c r="C5" s="21" t="s">
        <v>51</v>
      </c>
      <c r="E5" s="24">
        <f>E6*5280</f>
        <v>5280</v>
      </c>
      <c r="F5" s="21"/>
      <c r="G5" s="21"/>
      <c r="H5" s="19"/>
      <c r="I5" s="32"/>
      <c r="J5" s="10"/>
      <c r="K5" s="10"/>
      <c r="S5" s="3"/>
      <c r="U5" s="3"/>
      <c r="AE5" s="6"/>
      <c r="AF5" s="1"/>
      <c r="AG5"/>
      <c r="AH5"/>
      <c r="AI5"/>
      <c r="AJ5"/>
    </row>
    <row r="6" spans="1:36" s="5" customFormat="1" ht="15.75" x14ac:dyDescent="0.25">
      <c r="A6" s="10"/>
      <c r="B6" s="31" t="s">
        <v>50</v>
      </c>
      <c r="C6" s="21" t="s">
        <v>52</v>
      </c>
      <c r="E6" s="117">
        <v>1</v>
      </c>
      <c r="F6" s="21"/>
      <c r="G6" s="21"/>
      <c r="H6" s="19"/>
      <c r="I6" s="32"/>
      <c r="J6" s="10"/>
      <c r="K6" s="10"/>
      <c r="S6" s="3"/>
      <c r="U6" s="3"/>
      <c r="AE6" s="6"/>
      <c r="AF6" s="1"/>
      <c r="AG6"/>
      <c r="AH6"/>
      <c r="AI6"/>
      <c r="AJ6"/>
    </row>
    <row r="7" spans="1:36" s="5" customFormat="1" ht="15.75" x14ac:dyDescent="0.25">
      <c r="A7" s="10"/>
      <c r="B7" s="33" t="s">
        <v>53</v>
      </c>
      <c r="C7" s="2" t="s">
        <v>54</v>
      </c>
      <c r="E7" s="118">
        <v>15</v>
      </c>
      <c r="F7" s="7"/>
      <c r="G7" s="7"/>
      <c r="H7" s="19"/>
      <c r="I7" s="32"/>
      <c r="J7" s="10"/>
      <c r="K7" s="10"/>
      <c r="S7" s="3"/>
      <c r="U7" s="3"/>
      <c r="AE7" s="6"/>
      <c r="AF7" s="1"/>
      <c r="AG7"/>
      <c r="AH7"/>
      <c r="AI7"/>
      <c r="AJ7"/>
    </row>
    <row r="8" spans="1:36" s="5" customFormat="1" ht="16.350000000000001" customHeight="1" x14ac:dyDescent="0.25">
      <c r="A8" s="10"/>
      <c r="B8" s="34" t="s">
        <v>55</v>
      </c>
      <c r="C8" s="64" t="s">
        <v>51</v>
      </c>
      <c r="E8" s="118">
        <v>30</v>
      </c>
      <c r="F8" s="7"/>
      <c r="G8" s="7"/>
      <c r="H8" s="19"/>
      <c r="I8" s="32"/>
      <c r="J8" s="10"/>
      <c r="K8" s="10"/>
      <c r="S8" s="3"/>
      <c r="U8" s="3"/>
      <c r="AE8" s="6"/>
      <c r="AF8" s="1"/>
      <c r="AG8"/>
      <c r="AH8"/>
      <c r="AI8"/>
      <c r="AJ8"/>
    </row>
    <row r="9" spans="1:36" s="5" customFormat="1" ht="15.75" x14ac:dyDescent="0.25">
      <c r="A9" s="10"/>
      <c r="B9" s="34"/>
      <c r="C9" s="64"/>
      <c r="E9" s="24"/>
      <c r="F9" s="37"/>
      <c r="G9" s="37"/>
      <c r="H9" s="19"/>
      <c r="I9" s="32"/>
      <c r="J9" s="10"/>
      <c r="K9" s="10"/>
      <c r="S9" s="3"/>
      <c r="U9" s="3"/>
      <c r="AE9" s="6"/>
      <c r="AF9" s="1"/>
      <c r="AG9"/>
      <c r="AH9"/>
      <c r="AI9"/>
      <c r="AJ9"/>
    </row>
    <row r="10" spans="1:36" s="5" customFormat="1" ht="30" x14ac:dyDescent="0.25">
      <c r="A10" s="10"/>
      <c r="B10" s="274" t="s">
        <v>56</v>
      </c>
      <c r="C10" s="65"/>
      <c r="D10" s="70"/>
      <c r="E10" s="278" t="s">
        <v>49</v>
      </c>
      <c r="F10" s="20" t="s">
        <v>57</v>
      </c>
      <c r="G10" s="281" t="s">
        <v>58</v>
      </c>
      <c r="H10" s="20" t="s">
        <v>59</v>
      </c>
      <c r="I10" s="281" t="s">
        <v>60</v>
      </c>
      <c r="J10" s="10"/>
      <c r="K10" s="10"/>
      <c r="S10" s="3"/>
      <c r="U10" s="3"/>
      <c r="AE10" s="6"/>
      <c r="AF10" s="1"/>
      <c r="AG10"/>
      <c r="AH10"/>
      <c r="AI10"/>
      <c r="AJ10"/>
    </row>
    <row r="11" spans="1:36" s="5" customFormat="1" ht="15.75" x14ac:dyDescent="0.25">
      <c r="A11" s="10"/>
      <c r="B11" s="34" t="s">
        <v>61</v>
      </c>
      <c r="C11" s="64" t="s">
        <v>54</v>
      </c>
      <c r="E11" s="24">
        <f>E5*2/300+E7</f>
        <v>50.2</v>
      </c>
      <c r="F11" s="37">
        <v>500</v>
      </c>
      <c r="G11" s="37">
        <f>F11*1.0923</f>
        <v>546.15</v>
      </c>
      <c r="H11" s="19">
        <f>E11*F11</f>
        <v>25100</v>
      </c>
      <c r="I11" s="32">
        <f>H11*1.0923</f>
        <v>27416.73</v>
      </c>
      <c r="J11" s="10"/>
      <c r="K11" s="10"/>
      <c r="S11" s="3"/>
      <c r="U11" s="3"/>
      <c r="AE11" s="6"/>
      <c r="AF11" s="1"/>
      <c r="AG11"/>
      <c r="AH11"/>
      <c r="AI11"/>
      <c r="AJ11"/>
    </row>
    <row r="12" spans="1:36" s="5" customFormat="1" ht="30" x14ac:dyDescent="0.25">
      <c r="A12" s="10"/>
      <c r="B12" s="61" t="s">
        <v>62</v>
      </c>
      <c r="C12" s="64" t="s">
        <v>51</v>
      </c>
      <c r="E12" s="24">
        <f>E5-(E7*E8)</f>
        <v>4830</v>
      </c>
      <c r="F12" s="37">
        <v>20</v>
      </c>
      <c r="G12" s="37">
        <f t="shared" ref="G12:G14" si="0">F12*1.0923</f>
        <v>21.846</v>
      </c>
      <c r="H12" s="19">
        <f>E12*F12</f>
        <v>96600</v>
      </c>
      <c r="I12" s="32">
        <f t="shared" ref="I12:I14" si="1">H12*1.0923</f>
        <v>105516.18000000001</v>
      </c>
      <c r="J12" s="10"/>
      <c r="K12" s="10"/>
      <c r="S12" s="3"/>
      <c r="U12" s="3"/>
      <c r="AE12" s="6"/>
      <c r="AF12" s="1"/>
      <c r="AG12"/>
      <c r="AH12"/>
      <c r="AI12"/>
      <c r="AJ12"/>
    </row>
    <row r="13" spans="1:36" s="5" customFormat="1" ht="30" x14ac:dyDescent="0.25">
      <c r="A13" s="10"/>
      <c r="B13" s="61" t="s">
        <v>64</v>
      </c>
      <c r="C13" s="64" t="s">
        <v>51</v>
      </c>
      <c r="D13" s="24"/>
      <c r="E13" s="119">
        <v>0</v>
      </c>
      <c r="F13" s="37">
        <v>20</v>
      </c>
      <c r="G13" s="37">
        <f t="shared" si="0"/>
        <v>21.846</v>
      </c>
      <c r="H13" s="19">
        <f>E13*F13</f>
        <v>0</v>
      </c>
      <c r="I13" s="32">
        <f t="shared" si="1"/>
        <v>0</v>
      </c>
      <c r="J13" s="10"/>
      <c r="K13" s="10"/>
      <c r="S13" s="3"/>
      <c r="U13" s="3"/>
      <c r="AE13" s="6"/>
      <c r="AF13" s="1"/>
      <c r="AG13"/>
      <c r="AH13"/>
      <c r="AI13"/>
      <c r="AJ13"/>
    </row>
    <row r="14" spans="1:36" s="5" customFormat="1" ht="15.75" x14ac:dyDescent="0.25">
      <c r="A14" s="10"/>
      <c r="B14" s="61" t="s">
        <v>65</v>
      </c>
      <c r="C14" s="64" t="s">
        <v>66</v>
      </c>
      <c r="D14" s="24"/>
      <c r="E14" s="24">
        <f>((E8+20)*E7)*12</f>
        <v>9000</v>
      </c>
      <c r="F14" s="37">
        <v>20</v>
      </c>
      <c r="G14" s="37">
        <f t="shared" si="0"/>
        <v>21.846</v>
      </c>
      <c r="H14" s="19">
        <f>E14*F14</f>
        <v>180000</v>
      </c>
      <c r="I14" s="32">
        <f t="shared" si="1"/>
        <v>196614</v>
      </c>
      <c r="J14" s="10"/>
      <c r="K14" s="10"/>
      <c r="S14" s="3"/>
      <c r="U14" s="3"/>
      <c r="AE14" s="6"/>
      <c r="AF14" s="1"/>
      <c r="AG14"/>
      <c r="AH14"/>
      <c r="AI14"/>
      <c r="AJ14"/>
    </row>
    <row r="15" spans="1:36" ht="30" x14ac:dyDescent="0.25">
      <c r="B15" s="274" t="s">
        <v>67</v>
      </c>
      <c r="C15" s="278" t="s">
        <v>68</v>
      </c>
      <c r="D15" s="279" t="s">
        <v>69</v>
      </c>
      <c r="E15" s="280" t="s">
        <v>49</v>
      </c>
      <c r="F15" s="20" t="s">
        <v>57</v>
      </c>
      <c r="G15" s="281" t="s">
        <v>58</v>
      </c>
      <c r="H15" s="20" t="s">
        <v>59</v>
      </c>
      <c r="I15" s="281" t="s">
        <v>60</v>
      </c>
    </row>
    <row r="16" spans="1:36" ht="15.75" x14ac:dyDescent="0.25">
      <c r="B16" s="71" t="s">
        <v>70</v>
      </c>
      <c r="C16" s="36" t="s">
        <v>71</v>
      </c>
      <c r="D16" s="24">
        <v>3</v>
      </c>
      <c r="E16" s="36">
        <f>E6*4+E7+2</f>
        <v>21</v>
      </c>
      <c r="F16" s="37">
        <v>50</v>
      </c>
      <c r="G16" s="37">
        <f>F16*1.0923</f>
        <v>54.615000000000002</v>
      </c>
      <c r="H16" s="37">
        <f>D16*E16*F16</f>
        <v>3150</v>
      </c>
      <c r="I16" s="38">
        <f>H16*1.0923</f>
        <v>3440.7450000000003</v>
      </c>
    </row>
    <row r="17" spans="2:9" x14ac:dyDescent="0.25">
      <c r="B17" s="71" t="s">
        <v>72</v>
      </c>
      <c r="C17" s="36" t="s">
        <v>73</v>
      </c>
      <c r="D17" s="62">
        <v>1.3</v>
      </c>
      <c r="E17" s="123">
        <v>0</v>
      </c>
      <c r="F17" s="37">
        <v>50</v>
      </c>
      <c r="G17" s="37">
        <f t="shared" ref="G17:G20" si="2">F17*1.0923</f>
        <v>54.615000000000002</v>
      </c>
      <c r="H17" s="37">
        <f>D17*E17*F17</f>
        <v>0</v>
      </c>
      <c r="I17" s="38">
        <f t="shared" ref="I17:I20" si="3">H17*1.0923</f>
        <v>0</v>
      </c>
    </row>
    <row r="18" spans="2:9" x14ac:dyDescent="0.25">
      <c r="B18" s="71" t="s">
        <v>74</v>
      </c>
      <c r="C18" s="36" t="s">
        <v>73</v>
      </c>
      <c r="D18" s="62">
        <v>1.3</v>
      </c>
      <c r="E18" s="123">
        <v>0</v>
      </c>
      <c r="F18" s="37">
        <v>50</v>
      </c>
      <c r="G18" s="37">
        <f t="shared" si="2"/>
        <v>54.615000000000002</v>
      </c>
      <c r="H18" s="37">
        <f t="shared" ref="H18:H20" si="4">D18*E18*F18</f>
        <v>0</v>
      </c>
      <c r="I18" s="38">
        <f t="shared" si="3"/>
        <v>0</v>
      </c>
    </row>
    <row r="19" spans="2:9" ht="30" x14ac:dyDescent="0.25">
      <c r="B19" s="71" t="s">
        <v>75</v>
      </c>
      <c r="C19" s="36" t="s">
        <v>76</v>
      </c>
      <c r="D19" s="62">
        <v>7.5</v>
      </c>
      <c r="E19" s="62">
        <f>E7*4</f>
        <v>60</v>
      </c>
      <c r="F19" s="37">
        <v>50</v>
      </c>
      <c r="G19" s="37">
        <f t="shared" si="2"/>
        <v>54.615000000000002</v>
      </c>
      <c r="H19" s="37">
        <f t="shared" si="4"/>
        <v>22500</v>
      </c>
      <c r="I19" s="38">
        <f t="shared" si="3"/>
        <v>24576.75</v>
      </c>
    </row>
    <row r="20" spans="2:9" ht="30" x14ac:dyDescent="0.25">
      <c r="B20" s="71" t="s">
        <v>77</v>
      </c>
      <c r="C20" s="36" t="s">
        <v>78</v>
      </c>
      <c r="D20" s="62">
        <v>6.25</v>
      </c>
      <c r="E20" s="119">
        <v>0</v>
      </c>
      <c r="F20" s="37">
        <v>50</v>
      </c>
      <c r="G20" s="37">
        <f t="shared" si="2"/>
        <v>54.615000000000002</v>
      </c>
      <c r="H20" s="37">
        <f t="shared" si="4"/>
        <v>0</v>
      </c>
      <c r="I20" s="38">
        <f t="shared" si="3"/>
        <v>0</v>
      </c>
    </row>
    <row r="21" spans="2:9" ht="15" customHeight="1" x14ac:dyDescent="0.25">
      <c r="B21" s="270" t="s">
        <v>87</v>
      </c>
      <c r="C21" s="47"/>
      <c r="D21" s="48"/>
      <c r="E21" s="49"/>
      <c r="F21" s="50"/>
      <c r="G21" s="50"/>
      <c r="H21" s="50">
        <f>SUM(H11:H20)</f>
        <v>327350</v>
      </c>
      <c r="I21" s="271">
        <f>H21*1.0923</f>
        <v>357564.40500000003</v>
      </c>
    </row>
    <row r="22" spans="2:9" ht="15" customHeight="1" x14ac:dyDescent="0.25">
      <c r="B22" s="41"/>
      <c r="C22" s="25"/>
      <c r="D22" s="26"/>
      <c r="E22" s="27"/>
      <c r="F22" s="28"/>
      <c r="G22" s="28"/>
      <c r="H22" s="28"/>
      <c r="I22" s="40"/>
    </row>
    <row r="23" spans="2:9" ht="15" customHeight="1" x14ac:dyDescent="0.25">
      <c r="B23" s="282" t="s">
        <v>88</v>
      </c>
      <c r="C23" s="283" t="s">
        <v>89</v>
      </c>
      <c r="D23" s="254"/>
      <c r="E23" s="254"/>
      <c r="F23" s="51">
        <v>0.1</v>
      </c>
      <c r="G23" s="51"/>
      <c r="H23" s="172">
        <f>H21*F23</f>
        <v>32735</v>
      </c>
      <c r="I23" s="286">
        <f t="shared" ref="I23:I28" si="5">H23*1.0923</f>
        <v>35756.440500000004</v>
      </c>
    </row>
    <row r="24" spans="2:9" ht="15" customHeight="1" x14ac:dyDescent="0.25">
      <c r="B24" s="41" t="s">
        <v>90</v>
      </c>
      <c r="C24" s="25"/>
      <c r="D24" s="66"/>
      <c r="E24" s="67"/>
      <c r="F24" s="29"/>
      <c r="G24" s="29"/>
      <c r="H24" s="28">
        <f>SUM(H21:H23)</f>
        <v>360085</v>
      </c>
      <c r="I24" s="40">
        <f t="shared" si="5"/>
        <v>393320.8455</v>
      </c>
    </row>
    <row r="25" spans="2:9" ht="15" customHeight="1" x14ac:dyDescent="0.25">
      <c r="B25" s="284" t="s">
        <v>91</v>
      </c>
      <c r="C25" s="285" t="s">
        <v>89</v>
      </c>
      <c r="D25" s="255"/>
      <c r="E25" s="255"/>
      <c r="F25" s="53">
        <v>0.1</v>
      </c>
      <c r="G25" s="53"/>
      <c r="H25" s="172">
        <f>H24*F25</f>
        <v>36008.5</v>
      </c>
      <c r="I25" s="286">
        <f t="shared" si="5"/>
        <v>39332.08455</v>
      </c>
    </row>
    <row r="26" spans="2:9" ht="15" customHeight="1" thickBot="1" x14ac:dyDescent="0.3">
      <c r="B26" s="54" t="s">
        <v>87</v>
      </c>
      <c r="C26" s="55"/>
      <c r="D26" s="68"/>
      <c r="E26" s="69"/>
      <c r="F26" s="56"/>
      <c r="G26" s="56"/>
      <c r="H26" s="173">
        <f>SUM(H24:H25)</f>
        <v>396093.5</v>
      </c>
      <c r="I26" s="189">
        <f t="shared" si="5"/>
        <v>432652.93005000002</v>
      </c>
    </row>
    <row r="27" spans="2:9" ht="15" customHeight="1" thickTop="1" x14ac:dyDescent="0.25">
      <c r="B27" s="282" t="s">
        <v>92</v>
      </c>
      <c r="C27" s="287" t="s">
        <v>93</v>
      </c>
      <c r="D27" s="252"/>
      <c r="E27" s="252"/>
      <c r="F27" s="51">
        <v>0.25</v>
      </c>
      <c r="G27" s="51"/>
      <c r="H27" s="180">
        <f>H26*F27</f>
        <v>99023.375</v>
      </c>
      <c r="I27" s="297">
        <f t="shared" si="5"/>
        <v>108163.23251250001</v>
      </c>
    </row>
    <row r="28" spans="2:9" ht="15" customHeight="1" thickBot="1" x14ac:dyDescent="0.3">
      <c r="B28" s="288" t="s">
        <v>94</v>
      </c>
      <c r="C28" s="289" t="s">
        <v>103</v>
      </c>
      <c r="D28" s="253"/>
      <c r="E28" s="253"/>
      <c r="F28" s="52">
        <v>0.1</v>
      </c>
      <c r="G28" s="52"/>
      <c r="H28" s="174">
        <f>H27*F28</f>
        <v>9902.3375000000015</v>
      </c>
      <c r="I28" s="296">
        <f t="shared" si="5"/>
        <v>10816.323251250002</v>
      </c>
    </row>
    <row r="29" spans="2:9" ht="15" customHeight="1" thickTop="1" x14ac:dyDescent="0.25">
      <c r="B29" s="39"/>
      <c r="C29" s="22"/>
      <c r="D29" s="17"/>
      <c r="E29" s="4"/>
      <c r="F29" s="7"/>
      <c r="G29" s="7"/>
      <c r="H29" s="7"/>
      <c r="I29" s="183"/>
    </row>
    <row r="30" spans="2:9" ht="15" customHeight="1" thickBot="1" x14ac:dyDescent="0.3">
      <c r="B30" s="43" t="s">
        <v>96</v>
      </c>
      <c r="C30" s="44"/>
      <c r="D30" s="45"/>
      <c r="E30" s="13"/>
      <c r="F30" s="46"/>
      <c r="G30" s="46"/>
      <c r="H30" s="46">
        <f>SUM(H26,H27,H28)</f>
        <v>505019.21250000002</v>
      </c>
      <c r="I30" s="107">
        <f>H30*1.0923</f>
        <v>551632.48581375007</v>
      </c>
    </row>
  </sheetData>
  <mergeCells count="6">
    <mergeCell ref="C28:E28"/>
    <mergeCell ref="C23:E23"/>
    <mergeCell ref="C25:E25"/>
    <mergeCell ref="C27:E27"/>
    <mergeCell ref="B2:I2"/>
    <mergeCell ref="B3:I3"/>
  </mergeCells>
  <dataValidations count="4">
    <dataValidation allowBlank="1" showInputMessage="1" showErrorMessage="1" promptTitle="Bike Lane Ahead" prompt="Enter additional quanities for this type of sign, if desired or required." sqref="E17" xr:uid="{712B83C9-7727-4AD4-B749-D2D1C5EFCAED}"/>
    <dataValidation allowBlank="1" showInputMessage="1" showErrorMessage="1" promptTitle="Bike Lane Ends" prompt="Enter additional quanities for this type of sign, if desired or required." sqref="E18" xr:uid="{959EE366-0C53-45E8-9296-894B75C025CF}"/>
    <dataValidation allowBlank="1" showInputMessage="1" showErrorMessage="1" promptTitle="Bikes May Use Full Lane" prompt="Enter additional quanities for this type of sign, if desired or required." sqref="E20" xr:uid="{C82E700A-EE5D-40E4-9BA9-6AB45ECE4C87}"/>
    <dataValidation allowBlank="1" showInputMessage="1" showErrorMessage="1" prompt="2025 cost values are estimated by applying a 9.23% inflation rate to 2022 costs." sqref="G10 I10 G15 I15" xr:uid="{C17DEF1B-CF2F-46ED-920C-6CA4354AD384}"/>
  </dataValidations>
  <pageMargins left="0.25" right="0.25" top="0.75" bottom="0.75" header="0.3" footer="0.3"/>
  <pageSetup paperSize="3" scale="78" fitToHeight="0" orientation="landscape" r:id="rId1"/>
  <ignoredErrors>
    <ignoredError sqref="H26 H11:H20"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128FD-A6E2-43E7-8EB4-D41E3B989E5C}">
  <sheetPr>
    <pageSetUpPr fitToPage="1"/>
  </sheetPr>
  <dimension ref="A1:AJ31"/>
  <sheetViews>
    <sheetView zoomScaleNormal="100" workbookViewId="0">
      <selection activeCell="K29" sqref="K29"/>
    </sheetView>
  </sheetViews>
  <sheetFormatPr defaultRowHeight="15" x14ac:dyDescent="0.25"/>
  <cols>
    <col min="1" max="1" width="8.5703125" style="2" customWidth="1"/>
    <col min="2" max="2" width="26" style="1" customWidth="1"/>
    <col min="3" max="3" width="13.42578125" style="4" customWidth="1"/>
    <col min="4" max="4" width="8.5703125" style="4" customWidth="1"/>
    <col min="5" max="5" width="12.42578125" style="3" customWidth="1"/>
    <col min="6" max="6" width="12" style="3" hidden="1" customWidth="1"/>
    <col min="7" max="7" width="12" style="3" customWidth="1"/>
    <col min="8" max="8" width="12" style="3" hidden="1" customWidth="1"/>
    <col min="9" max="9" width="12" style="3" customWidth="1"/>
    <col min="10" max="10" width="13.85546875" style="4" customWidth="1"/>
    <col min="11" max="11" width="25.42578125" style="5" customWidth="1"/>
    <col min="12" max="12" width="12.570312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I1" s="190"/>
      <c r="J1" s="2"/>
      <c r="K1" s="7"/>
      <c r="L1" s="17"/>
      <c r="M1" s="17"/>
      <c r="N1" s="7"/>
      <c r="O1" s="7"/>
      <c r="P1" s="17"/>
      <c r="Q1" s="7"/>
      <c r="R1" s="7"/>
      <c r="T1" s="7"/>
      <c r="V1" s="7"/>
      <c r="W1" s="7"/>
      <c r="X1" s="7"/>
      <c r="Y1" s="7"/>
      <c r="Z1" s="7"/>
      <c r="AA1" s="7"/>
      <c r="AB1" s="7"/>
      <c r="AC1" s="7"/>
      <c r="AD1" s="7"/>
      <c r="AE1" s="16"/>
      <c r="AF1" s="14"/>
      <c r="AH1" s="9"/>
      <c r="AI1" s="8"/>
    </row>
    <row r="2" spans="1:36" ht="57.95" customHeight="1" x14ac:dyDescent="0.25">
      <c r="A2" s="10"/>
      <c r="B2" s="256" t="s">
        <v>105</v>
      </c>
      <c r="C2" s="257"/>
      <c r="D2" s="257"/>
      <c r="E2" s="257"/>
      <c r="F2" s="257"/>
      <c r="G2" s="257"/>
      <c r="H2" s="257"/>
      <c r="I2" s="258"/>
      <c r="J2" s="10"/>
      <c r="K2" s="121" t="s">
        <v>98</v>
      </c>
    </row>
    <row r="3" spans="1:36" s="5" customFormat="1" ht="15.75" customHeight="1" thickBot="1" x14ac:dyDescent="0.3">
      <c r="A3" s="10"/>
      <c r="B3" s="262" t="s">
        <v>99</v>
      </c>
      <c r="C3" s="263"/>
      <c r="D3" s="263"/>
      <c r="E3" s="263"/>
      <c r="F3" s="263"/>
      <c r="G3" s="263"/>
      <c r="H3" s="263"/>
      <c r="I3" s="264"/>
      <c r="J3" s="10"/>
      <c r="K3" s="10"/>
      <c r="S3" s="3"/>
      <c r="U3" s="3"/>
      <c r="AE3" s="6"/>
      <c r="AF3" s="1"/>
      <c r="AG3"/>
      <c r="AH3"/>
      <c r="AI3"/>
      <c r="AJ3"/>
    </row>
    <row r="4" spans="1:36" s="5" customFormat="1" x14ac:dyDescent="0.25">
      <c r="A4" s="10"/>
      <c r="B4" s="272" t="s">
        <v>48</v>
      </c>
      <c r="C4" s="60"/>
      <c r="D4" s="60"/>
      <c r="E4" s="293" t="s">
        <v>49</v>
      </c>
      <c r="F4" s="30"/>
      <c r="G4" s="30"/>
      <c r="H4" s="138"/>
      <c r="I4" s="181"/>
      <c r="J4" s="10"/>
      <c r="K4" s="10"/>
      <c r="S4" s="3"/>
      <c r="U4" s="3"/>
      <c r="AE4" s="6"/>
      <c r="AF4" s="1"/>
      <c r="AG4"/>
      <c r="AH4"/>
      <c r="AI4"/>
      <c r="AJ4"/>
    </row>
    <row r="5" spans="1:36" s="5" customFormat="1" ht="20.100000000000001" customHeight="1" x14ac:dyDescent="0.25">
      <c r="A5" s="10"/>
      <c r="B5" s="31" t="s">
        <v>50</v>
      </c>
      <c r="C5" s="21" t="s">
        <v>51</v>
      </c>
      <c r="E5" s="24">
        <f>E6*5280</f>
        <v>7920</v>
      </c>
      <c r="F5" s="21"/>
      <c r="G5" s="21"/>
      <c r="H5" s="19"/>
      <c r="I5" s="32"/>
      <c r="J5" s="10"/>
      <c r="K5" s="10"/>
      <c r="S5" s="3"/>
      <c r="U5" s="3"/>
      <c r="AE5" s="6"/>
      <c r="AF5" s="1"/>
      <c r="AG5"/>
      <c r="AH5"/>
      <c r="AI5"/>
      <c r="AJ5"/>
    </row>
    <row r="6" spans="1:36" s="5" customFormat="1" ht="15.75" x14ac:dyDescent="0.25">
      <c r="A6" s="10"/>
      <c r="B6" s="31" t="s">
        <v>50</v>
      </c>
      <c r="C6" s="21" t="s">
        <v>52</v>
      </c>
      <c r="E6" s="117">
        <v>1.5</v>
      </c>
      <c r="F6" s="21"/>
      <c r="G6" s="21"/>
      <c r="H6" s="19"/>
      <c r="I6" s="32"/>
      <c r="J6" s="10"/>
      <c r="K6" s="10"/>
      <c r="S6" s="3"/>
      <c r="U6" s="3"/>
      <c r="AE6" s="6"/>
      <c r="AF6" s="1"/>
      <c r="AG6"/>
      <c r="AH6"/>
      <c r="AI6"/>
      <c r="AJ6"/>
    </row>
    <row r="7" spans="1:36" s="5" customFormat="1" ht="15.75" x14ac:dyDescent="0.25">
      <c r="A7" s="10"/>
      <c r="B7" s="33" t="s">
        <v>53</v>
      </c>
      <c r="C7" s="2" t="s">
        <v>54</v>
      </c>
      <c r="E7" s="118">
        <v>12</v>
      </c>
      <c r="F7" s="7"/>
      <c r="G7" s="7"/>
      <c r="H7" s="19"/>
      <c r="I7" s="32"/>
      <c r="J7" s="10"/>
      <c r="K7" s="10"/>
      <c r="S7" s="3"/>
      <c r="U7" s="3"/>
      <c r="AE7" s="6"/>
      <c r="AF7" s="1"/>
      <c r="AG7"/>
      <c r="AH7"/>
      <c r="AI7"/>
      <c r="AJ7"/>
    </row>
    <row r="8" spans="1:36" s="5" customFormat="1" ht="12" customHeight="1" x14ac:dyDescent="0.25">
      <c r="A8" s="10"/>
      <c r="B8" s="34" t="s">
        <v>55</v>
      </c>
      <c r="C8" s="64" t="s">
        <v>51</v>
      </c>
      <c r="E8" s="118">
        <v>40</v>
      </c>
      <c r="F8" s="7"/>
      <c r="G8" s="7"/>
      <c r="H8" s="19"/>
      <c r="I8" s="32"/>
      <c r="J8" s="10"/>
      <c r="K8" s="10"/>
      <c r="S8" s="3"/>
      <c r="U8" s="3"/>
      <c r="AE8" s="6"/>
      <c r="AF8" s="1"/>
      <c r="AG8"/>
      <c r="AH8"/>
      <c r="AI8"/>
      <c r="AJ8"/>
    </row>
    <row r="9" spans="1:36" s="5" customFormat="1" ht="15.75" x14ac:dyDescent="0.25">
      <c r="A9" s="10"/>
      <c r="B9" s="34"/>
      <c r="C9" s="64"/>
      <c r="E9" s="24"/>
      <c r="F9" s="37"/>
      <c r="G9" s="37"/>
      <c r="H9" s="19"/>
      <c r="I9" s="32"/>
      <c r="J9" s="10"/>
      <c r="K9" s="10"/>
      <c r="S9" s="3"/>
      <c r="U9" s="3"/>
      <c r="AE9" s="6"/>
      <c r="AF9" s="1"/>
      <c r="AG9"/>
      <c r="AH9"/>
      <c r="AI9"/>
      <c r="AJ9"/>
    </row>
    <row r="10" spans="1:36" s="5" customFormat="1" ht="30" x14ac:dyDescent="0.25">
      <c r="A10" s="10"/>
      <c r="B10" s="274" t="s">
        <v>56</v>
      </c>
      <c r="C10" s="65"/>
      <c r="D10" s="70"/>
      <c r="E10" s="278" t="s">
        <v>49</v>
      </c>
      <c r="F10" s="20" t="s">
        <v>57</v>
      </c>
      <c r="G10" s="281" t="s">
        <v>58</v>
      </c>
      <c r="H10" s="20" t="s">
        <v>59</v>
      </c>
      <c r="I10" s="281" t="s">
        <v>60</v>
      </c>
      <c r="J10" s="10"/>
      <c r="K10" s="10"/>
      <c r="S10" s="3"/>
      <c r="U10" s="3"/>
      <c r="AE10" s="6"/>
      <c r="AF10" s="1"/>
      <c r="AG10"/>
      <c r="AH10"/>
      <c r="AI10"/>
      <c r="AJ10"/>
    </row>
    <row r="11" spans="1:36" s="5" customFormat="1" ht="15.75" x14ac:dyDescent="0.25">
      <c r="A11" s="10"/>
      <c r="B11" s="34" t="s">
        <v>61</v>
      </c>
      <c r="C11" s="64" t="s">
        <v>54</v>
      </c>
      <c r="E11" s="24">
        <f>E5/300+E7</f>
        <v>38.4</v>
      </c>
      <c r="F11" s="37">
        <v>500</v>
      </c>
      <c r="G11" s="37">
        <f>F11*1.0923</f>
        <v>546.15</v>
      </c>
      <c r="H11" s="19">
        <f>E11*F11</f>
        <v>19200</v>
      </c>
      <c r="I11" s="32">
        <f>H11*1.0923</f>
        <v>20972.16</v>
      </c>
      <c r="J11" s="10"/>
      <c r="K11" s="10"/>
      <c r="S11" s="3"/>
      <c r="U11" s="3"/>
      <c r="AE11" s="6"/>
      <c r="AF11" s="1"/>
      <c r="AG11"/>
      <c r="AH11"/>
      <c r="AI11"/>
      <c r="AJ11"/>
    </row>
    <row r="12" spans="1:36" s="5" customFormat="1" ht="30" x14ac:dyDescent="0.25">
      <c r="A12" s="10"/>
      <c r="B12" s="61" t="s">
        <v>62</v>
      </c>
      <c r="C12" s="64" t="s">
        <v>51</v>
      </c>
      <c r="E12" s="24">
        <f>E5*2-(E7*E8)</f>
        <v>15360</v>
      </c>
      <c r="F12" s="37">
        <v>20</v>
      </c>
      <c r="G12" s="37">
        <f t="shared" ref="G12:G14" si="0">F12*1.0923</f>
        <v>21.846</v>
      </c>
      <c r="H12" s="19">
        <f>E12*F12</f>
        <v>307200</v>
      </c>
      <c r="I12" s="32">
        <f t="shared" ref="I12:I14" si="1">H12*1.0923</f>
        <v>335554.56</v>
      </c>
      <c r="J12" s="10"/>
      <c r="K12" s="10"/>
      <c r="S12" s="3"/>
      <c r="U12" s="3"/>
      <c r="AE12" s="6"/>
      <c r="AF12" s="1"/>
      <c r="AG12"/>
      <c r="AH12"/>
      <c r="AI12"/>
      <c r="AJ12"/>
    </row>
    <row r="13" spans="1:36" s="5" customFormat="1" ht="30" x14ac:dyDescent="0.25">
      <c r="A13" s="10"/>
      <c r="B13" s="61" t="s">
        <v>64</v>
      </c>
      <c r="C13" s="64" t="s">
        <v>51</v>
      </c>
      <c r="D13" s="24"/>
      <c r="E13" s="119">
        <v>0</v>
      </c>
      <c r="F13" s="37">
        <v>20</v>
      </c>
      <c r="G13" s="37">
        <f t="shared" si="0"/>
        <v>21.846</v>
      </c>
      <c r="H13" s="19">
        <f>E13*F13</f>
        <v>0</v>
      </c>
      <c r="I13" s="32">
        <f t="shared" si="1"/>
        <v>0</v>
      </c>
      <c r="J13" s="10"/>
      <c r="K13" s="10"/>
      <c r="S13" s="3"/>
      <c r="U13" s="3"/>
      <c r="AE13" s="6"/>
      <c r="AF13" s="1"/>
      <c r="AG13"/>
      <c r="AH13"/>
      <c r="AI13"/>
      <c r="AJ13"/>
    </row>
    <row r="14" spans="1:36" s="5" customFormat="1" ht="15.75" x14ac:dyDescent="0.25">
      <c r="A14" s="10"/>
      <c r="B14" s="61" t="s">
        <v>65</v>
      </c>
      <c r="C14" s="64" t="s">
        <v>66</v>
      </c>
      <c r="D14" s="24"/>
      <c r="E14" s="24">
        <f>((E8+20)*E7)*6</f>
        <v>4320</v>
      </c>
      <c r="F14" s="37">
        <v>20</v>
      </c>
      <c r="G14" s="37">
        <f t="shared" si="0"/>
        <v>21.846</v>
      </c>
      <c r="H14" s="19">
        <f>E14*F14</f>
        <v>86400</v>
      </c>
      <c r="I14" s="32">
        <f t="shared" si="1"/>
        <v>94374.720000000001</v>
      </c>
      <c r="J14" s="10"/>
      <c r="K14" s="10"/>
      <c r="S14" s="3"/>
      <c r="U14" s="3"/>
      <c r="AE14" s="6"/>
      <c r="AF14" s="1"/>
      <c r="AG14"/>
      <c r="AH14"/>
      <c r="AI14"/>
      <c r="AJ14"/>
    </row>
    <row r="15" spans="1:36" ht="30" x14ac:dyDescent="0.25">
      <c r="B15" s="274" t="s">
        <v>67</v>
      </c>
      <c r="C15" s="278" t="s">
        <v>68</v>
      </c>
      <c r="D15" s="279" t="s">
        <v>69</v>
      </c>
      <c r="E15" s="280" t="s">
        <v>49</v>
      </c>
      <c r="F15" s="20" t="s">
        <v>57</v>
      </c>
      <c r="G15" s="281" t="s">
        <v>58</v>
      </c>
      <c r="H15" s="20" t="s">
        <v>59</v>
      </c>
      <c r="I15" s="281" t="s">
        <v>60</v>
      </c>
      <c r="K15" s="76"/>
    </row>
    <row r="16" spans="1:36" ht="15.75" x14ac:dyDescent="0.25">
      <c r="B16" s="71" t="s">
        <v>70</v>
      </c>
      <c r="C16" s="36" t="s">
        <v>71</v>
      </c>
      <c r="D16" s="24">
        <v>3</v>
      </c>
      <c r="E16" s="36">
        <f>E6*2+E7+2</f>
        <v>17</v>
      </c>
      <c r="F16" s="37">
        <v>50</v>
      </c>
      <c r="G16" s="37">
        <f>F16*1.0923</f>
        <v>54.615000000000002</v>
      </c>
      <c r="H16" s="37">
        <f>D16*E16*F16</f>
        <v>2550</v>
      </c>
      <c r="I16" s="38">
        <f>H16*1.0923</f>
        <v>2785.3650000000002</v>
      </c>
      <c r="K16" s="76"/>
    </row>
    <row r="17" spans="2:11" x14ac:dyDescent="0.25">
      <c r="B17" s="71" t="s">
        <v>72</v>
      </c>
      <c r="C17" s="36" t="s">
        <v>73</v>
      </c>
      <c r="D17" s="62">
        <v>1.3</v>
      </c>
      <c r="E17" s="123">
        <v>0</v>
      </c>
      <c r="F17" s="37">
        <v>50</v>
      </c>
      <c r="G17" s="37">
        <f t="shared" ref="G17:G20" si="2">F17*1.0923</f>
        <v>54.615000000000002</v>
      </c>
      <c r="H17" s="37">
        <f>D17*E17*F17</f>
        <v>0</v>
      </c>
      <c r="I17" s="38">
        <f t="shared" ref="I17:I20" si="3">H17*1.0923</f>
        <v>0</v>
      </c>
      <c r="K17" s="76"/>
    </row>
    <row r="18" spans="2:11" x14ac:dyDescent="0.25">
      <c r="B18" s="71" t="s">
        <v>74</v>
      </c>
      <c r="C18" s="36" t="s">
        <v>73</v>
      </c>
      <c r="D18" s="62">
        <v>1.3</v>
      </c>
      <c r="E18" s="123">
        <v>0</v>
      </c>
      <c r="F18" s="37">
        <v>50</v>
      </c>
      <c r="G18" s="37">
        <f t="shared" si="2"/>
        <v>54.615000000000002</v>
      </c>
      <c r="H18" s="37">
        <f t="shared" ref="H18:H20" si="4">D18*E18*F18</f>
        <v>0</v>
      </c>
      <c r="I18" s="38">
        <f t="shared" si="3"/>
        <v>0</v>
      </c>
      <c r="K18" s="76"/>
    </row>
    <row r="19" spans="2:11" ht="30" x14ac:dyDescent="0.25">
      <c r="B19" s="71" t="s">
        <v>75</v>
      </c>
      <c r="C19" s="36" t="s">
        <v>76</v>
      </c>
      <c r="D19" s="62">
        <v>7.5</v>
      </c>
      <c r="E19" s="62">
        <f>E7</f>
        <v>12</v>
      </c>
      <c r="F19" s="37">
        <v>50</v>
      </c>
      <c r="G19" s="37">
        <f t="shared" si="2"/>
        <v>54.615000000000002</v>
      </c>
      <c r="H19" s="37">
        <f t="shared" si="4"/>
        <v>4500</v>
      </c>
      <c r="I19" s="38">
        <f t="shared" si="3"/>
        <v>4915.3500000000004</v>
      </c>
      <c r="K19" s="76"/>
    </row>
    <row r="20" spans="2:11" ht="30" x14ac:dyDescent="0.25">
      <c r="B20" s="71" t="s">
        <v>77</v>
      </c>
      <c r="C20" s="36" t="s">
        <v>78</v>
      </c>
      <c r="D20" s="62">
        <v>6.25</v>
      </c>
      <c r="E20" s="119">
        <v>0</v>
      </c>
      <c r="F20" s="37">
        <v>50</v>
      </c>
      <c r="G20" s="37">
        <f t="shared" si="2"/>
        <v>54.615000000000002</v>
      </c>
      <c r="H20" s="37">
        <f t="shared" si="4"/>
        <v>0</v>
      </c>
      <c r="I20" s="38">
        <f t="shared" si="3"/>
        <v>0</v>
      </c>
      <c r="K20" s="76"/>
    </row>
    <row r="21" spans="2:11" ht="15" customHeight="1" x14ac:dyDescent="0.25">
      <c r="B21" s="270" t="s">
        <v>87</v>
      </c>
      <c r="C21" s="47"/>
      <c r="D21" s="48"/>
      <c r="E21" s="49"/>
      <c r="F21" s="50"/>
      <c r="G21" s="50"/>
      <c r="H21" s="50">
        <f>SUM(H11:H20)</f>
        <v>419850</v>
      </c>
      <c r="I21" s="271">
        <f>H21*1.0923</f>
        <v>458602.15500000003</v>
      </c>
      <c r="K21" s="76"/>
    </row>
    <row r="22" spans="2:11" ht="15" customHeight="1" x14ac:dyDescent="0.25">
      <c r="B22" s="41"/>
      <c r="C22" s="25"/>
      <c r="D22" s="26"/>
      <c r="E22" s="27"/>
      <c r="F22" s="28"/>
      <c r="G22" s="28"/>
      <c r="H22" s="28"/>
      <c r="I22" s="40"/>
      <c r="K22" s="76"/>
    </row>
    <row r="23" spans="2:11" ht="15" customHeight="1" x14ac:dyDescent="0.25">
      <c r="B23" s="282" t="s">
        <v>88</v>
      </c>
      <c r="C23" s="283" t="s">
        <v>89</v>
      </c>
      <c r="D23" s="254"/>
      <c r="E23" s="254"/>
      <c r="F23" s="51">
        <v>0.1</v>
      </c>
      <c r="G23" s="51"/>
      <c r="H23" s="134">
        <f>H21*F23</f>
        <v>41985</v>
      </c>
      <c r="I23" s="286">
        <f t="shared" ref="I23:I28" si="5">H23*1.0923</f>
        <v>45860.215499999998</v>
      </c>
      <c r="K23" s="76"/>
    </row>
    <row r="24" spans="2:11" ht="15" customHeight="1" x14ac:dyDescent="0.25">
      <c r="B24" s="41" t="s">
        <v>90</v>
      </c>
      <c r="C24" s="25"/>
      <c r="D24" s="66"/>
      <c r="E24" s="67"/>
      <c r="F24" s="29"/>
      <c r="G24" s="29"/>
      <c r="H24" s="28">
        <f>SUM(H21:H23)</f>
        <v>461835</v>
      </c>
      <c r="I24" s="40">
        <f t="shared" si="5"/>
        <v>504462.37050000002</v>
      </c>
      <c r="K24" s="76"/>
    </row>
    <row r="25" spans="2:11" ht="15" customHeight="1" x14ac:dyDescent="0.25">
      <c r="B25" s="284" t="s">
        <v>91</v>
      </c>
      <c r="C25" s="285" t="s">
        <v>89</v>
      </c>
      <c r="D25" s="255"/>
      <c r="E25" s="255"/>
      <c r="F25" s="53">
        <v>0.1</v>
      </c>
      <c r="G25" s="53"/>
      <c r="H25" s="172">
        <f>H24*F25</f>
        <v>46183.5</v>
      </c>
      <c r="I25" s="286">
        <f t="shared" si="5"/>
        <v>50446.237050000003</v>
      </c>
      <c r="K25" s="76"/>
    </row>
    <row r="26" spans="2:11" ht="15" customHeight="1" thickBot="1" x14ac:dyDescent="0.3">
      <c r="B26" s="54" t="s">
        <v>87</v>
      </c>
      <c r="C26" s="55"/>
      <c r="D26" s="68"/>
      <c r="E26" s="69"/>
      <c r="F26" s="56"/>
      <c r="G26" s="56"/>
      <c r="H26" s="173">
        <f>SUM(H24:H25)</f>
        <v>508018.5</v>
      </c>
      <c r="I26" s="57">
        <f t="shared" si="5"/>
        <v>554908.60755000007</v>
      </c>
      <c r="K26" s="76"/>
    </row>
    <row r="27" spans="2:11" ht="15" customHeight="1" thickTop="1" x14ac:dyDescent="0.25">
      <c r="B27" s="282" t="s">
        <v>92</v>
      </c>
      <c r="C27" s="287" t="s">
        <v>93</v>
      </c>
      <c r="D27" s="252"/>
      <c r="E27" s="252"/>
      <c r="F27" s="51">
        <v>0.25</v>
      </c>
      <c r="G27" s="51"/>
      <c r="H27" s="180">
        <f>H26*F27</f>
        <v>127004.625</v>
      </c>
      <c r="I27" s="295">
        <f t="shared" si="5"/>
        <v>138727.15188750002</v>
      </c>
      <c r="K27" s="76"/>
    </row>
    <row r="28" spans="2:11" ht="15" customHeight="1" thickBot="1" x14ac:dyDescent="0.3">
      <c r="B28" s="288" t="s">
        <v>94</v>
      </c>
      <c r="C28" s="289" t="s">
        <v>103</v>
      </c>
      <c r="D28" s="253"/>
      <c r="E28" s="253"/>
      <c r="F28" s="52">
        <v>0.1</v>
      </c>
      <c r="G28" s="52"/>
      <c r="H28" s="174">
        <f>H27*F28</f>
        <v>12700.462500000001</v>
      </c>
      <c r="I28" s="290">
        <f t="shared" si="5"/>
        <v>13872.715188750002</v>
      </c>
      <c r="K28" s="76"/>
    </row>
    <row r="29" spans="2:11" ht="15" customHeight="1" thickTop="1" x14ac:dyDescent="0.25">
      <c r="B29" s="39"/>
      <c r="C29" s="22"/>
      <c r="D29" s="17"/>
      <c r="E29" s="4"/>
      <c r="F29" s="7"/>
      <c r="G29" s="7"/>
      <c r="H29" s="7"/>
      <c r="I29" s="40"/>
      <c r="K29" s="76"/>
    </row>
    <row r="30" spans="2:11" ht="15" customHeight="1" thickBot="1" x14ac:dyDescent="0.3">
      <c r="B30" s="43" t="s">
        <v>96</v>
      </c>
      <c r="C30" s="44"/>
      <c r="D30" s="45"/>
      <c r="E30" s="13"/>
      <c r="F30" s="46"/>
      <c r="G30" s="46"/>
      <c r="H30" s="46">
        <f>SUM(H26,H27,H28)</f>
        <v>647723.58750000002</v>
      </c>
      <c r="I30" s="178">
        <f>H30*1.0923</f>
        <v>707508.4746262501</v>
      </c>
      <c r="K30" s="76"/>
    </row>
    <row r="31" spans="2:11" x14ac:dyDescent="0.25">
      <c r="I31" s="176"/>
    </row>
  </sheetData>
  <mergeCells count="6">
    <mergeCell ref="C28:E28"/>
    <mergeCell ref="C23:E23"/>
    <mergeCell ref="C25:E25"/>
    <mergeCell ref="C27:E27"/>
    <mergeCell ref="B2:I2"/>
    <mergeCell ref="B3:I3"/>
  </mergeCells>
  <dataValidations count="4">
    <dataValidation allowBlank="1" showInputMessage="1" showErrorMessage="1" promptTitle="Bike Lane Ahead" prompt="Enter additional quanities for this type of sign, if desired or required." sqref="E17" xr:uid="{C436F079-7A47-4F82-AA2B-D09592A35E97}"/>
    <dataValidation allowBlank="1" showInputMessage="1" showErrorMessage="1" promptTitle="BIke Lane Ends" prompt="Enter additional quanities for this type of sign, if desired or required." sqref="E18" xr:uid="{CDB7C2ED-15DD-42EC-8A79-4D87D620A6B6}"/>
    <dataValidation allowBlank="1" showInputMessage="1" showErrorMessage="1" promptTitle="Bikes May Use Full Lane" prompt="Enter additional quanities for this type of sign, if desired or required." sqref="E20" xr:uid="{78F832B2-6473-4714-A98C-A8C3C8325C2B}"/>
    <dataValidation allowBlank="1" showInputMessage="1" showErrorMessage="1" prompt="2025 cost values are estimated by applying a 9.23% inflation rate to 2022 costs." sqref="G10 I10 G15 I15" xr:uid="{F35EB966-B340-4F04-ADDA-E9FE0F98054B}"/>
  </dataValidations>
  <pageMargins left="0.25" right="0.25" top="0.75" bottom="0.75" header="0.3" footer="0.3"/>
  <pageSetup paperSize="3" scale="78" fitToHeight="0" orientation="landscape" r:id="rId1"/>
  <ignoredErrors>
    <ignoredError sqref="H26 H11:H2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4282-1658-45C1-8984-DC5EB196AF1A}">
  <sheetPr>
    <pageSetUpPr fitToPage="1"/>
  </sheetPr>
  <dimension ref="A1:AJ31"/>
  <sheetViews>
    <sheetView zoomScaleNormal="100" workbookViewId="0">
      <selection activeCell="K26" sqref="K26"/>
    </sheetView>
  </sheetViews>
  <sheetFormatPr defaultRowHeight="15" x14ac:dyDescent="0.25"/>
  <cols>
    <col min="1" max="1" width="8.5703125" style="2" customWidth="1"/>
    <col min="2" max="2" width="23.42578125" style="1" customWidth="1"/>
    <col min="3" max="3" width="13.42578125" style="4" customWidth="1"/>
    <col min="4" max="4" width="8.5703125" style="4" customWidth="1"/>
    <col min="5" max="5" width="12.42578125" style="3" customWidth="1"/>
    <col min="6" max="6" width="12" style="3" hidden="1" customWidth="1"/>
    <col min="7" max="7" width="12" style="3" customWidth="1"/>
    <col min="8" max="8" width="12" style="3" hidden="1" customWidth="1"/>
    <col min="9" max="9" width="12" style="3" customWidth="1"/>
    <col min="10" max="10" width="13.85546875" style="4" customWidth="1"/>
    <col min="11" max="11" width="28.140625" style="5" customWidth="1"/>
    <col min="12" max="12" width="12.5703125" style="5" customWidth="1"/>
    <col min="13" max="13" width="14" style="5" customWidth="1"/>
    <col min="14" max="18" width="12.5703125" style="5" customWidth="1"/>
    <col min="19" max="19" width="14.42578125" style="3" bestFit="1" customWidth="1"/>
    <col min="20" max="20" width="12.5703125" style="5" customWidth="1"/>
    <col min="21" max="21" width="10.5703125" style="3" customWidth="1"/>
    <col min="22" max="25" width="12.5703125" style="5" customWidth="1"/>
    <col min="26" max="26" width="14.42578125" style="5" customWidth="1"/>
    <col min="27" max="28" width="12.5703125" style="5" customWidth="1"/>
    <col min="29" max="29" width="15.42578125" style="5" customWidth="1"/>
    <col min="30" max="30" width="12.5703125" style="5" customWidth="1"/>
    <col min="31" max="31" width="12.5703125" style="6" customWidth="1"/>
    <col min="32" max="32" width="23" style="1" customWidth="1"/>
    <col min="34" max="34" width="9.5703125" bestFit="1" customWidth="1"/>
    <col min="35" max="35" width="11.5703125" bestFit="1" customWidth="1"/>
  </cols>
  <sheetData>
    <row r="1" spans="1:36" ht="15.75" thickBot="1" x14ac:dyDescent="0.3">
      <c r="A1" s="105"/>
      <c r="C1" s="2"/>
      <c r="J1" s="2"/>
      <c r="K1" s="7"/>
      <c r="L1" s="17"/>
      <c r="M1" s="17"/>
      <c r="N1" s="7"/>
      <c r="O1" s="7"/>
      <c r="P1" s="17"/>
      <c r="Q1" s="7"/>
      <c r="R1" s="7"/>
      <c r="T1" s="7"/>
      <c r="V1" s="7"/>
      <c r="W1" s="7"/>
      <c r="X1" s="7"/>
      <c r="Y1" s="7"/>
      <c r="Z1" s="7"/>
      <c r="AA1" s="7"/>
      <c r="AB1" s="7"/>
      <c r="AC1" s="7"/>
      <c r="AD1" s="7"/>
      <c r="AE1" s="16"/>
      <c r="AF1" s="14"/>
      <c r="AH1" s="9"/>
      <c r="AI1" s="8"/>
    </row>
    <row r="2" spans="1:36" ht="57.95" customHeight="1" x14ac:dyDescent="0.25">
      <c r="A2" s="10"/>
      <c r="B2" s="256" t="s">
        <v>106</v>
      </c>
      <c r="C2" s="257"/>
      <c r="D2" s="257"/>
      <c r="E2" s="257"/>
      <c r="F2" s="257"/>
      <c r="G2" s="257"/>
      <c r="H2" s="257"/>
      <c r="I2" s="258"/>
      <c r="J2" s="10"/>
      <c r="K2" s="121" t="s">
        <v>98</v>
      </c>
    </row>
    <row r="3" spans="1:36" s="5" customFormat="1" ht="15.75" customHeight="1" thickBot="1" x14ac:dyDescent="0.3">
      <c r="A3" s="10"/>
      <c r="B3" s="262" t="s">
        <v>99</v>
      </c>
      <c r="C3" s="263"/>
      <c r="D3" s="263"/>
      <c r="E3" s="263"/>
      <c r="F3" s="263"/>
      <c r="G3" s="263"/>
      <c r="H3" s="263"/>
      <c r="I3" s="264"/>
      <c r="J3" s="10"/>
      <c r="K3" s="10"/>
      <c r="S3" s="3"/>
      <c r="U3" s="3"/>
      <c r="AE3" s="6"/>
      <c r="AF3" s="1"/>
      <c r="AG3"/>
      <c r="AH3"/>
      <c r="AI3"/>
      <c r="AJ3"/>
    </row>
    <row r="4" spans="1:36" s="5" customFormat="1" x14ac:dyDescent="0.25">
      <c r="A4" s="10"/>
      <c r="B4" s="272" t="s">
        <v>48</v>
      </c>
      <c r="C4" s="60"/>
      <c r="D4" s="60"/>
      <c r="E4" s="293" t="s">
        <v>49</v>
      </c>
      <c r="F4" s="30"/>
      <c r="G4" s="30"/>
      <c r="H4" s="138"/>
      <c r="I4" s="181"/>
      <c r="J4" s="10"/>
      <c r="K4" s="10"/>
      <c r="S4" s="3"/>
      <c r="U4" s="3"/>
      <c r="AE4" s="6"/>
      <c r="AF4" s="1"/>
      <c r="AG4"/>
      <c r="AH4"/>
      <c r="AI4"/>
      <c r="AJ4"/>
    </row>
    <row r="5" spans="1:36" s="5" customFormat="1" ht="19.350000000000001" customHeight="1" x14ac:dyDescent="0.25">
      <c r="A5" s="10"/>
      <c r="B5" s="31" t="s">
        <v>50</v>
      </c>
      <c r="C5" s="21" t="s">
        <v>51</v>
      </c>
      <c r="E5" s="24">
        <f>E6*5280</f>
        <v>7920</v>
      </c>
      <c r="F5" s="21"/>
      <c r="G5" s="21"/>
      <c r="H5" s="19"/>
      <c r="I5" s="32"/>
      <c r="J5" s="10"/>
      <c r="K5" s="10"/>
      <c r="S5" s="3"/>
      <c r="U5" s="3"/>
      <c r="AE5" s="6"/>
      <c r="AF5" s="1"/>
      <c r="AG5"/>
      <c r="AH5"/>
      <c r="AI5"/>
      <c r="AJ5"/>
    </row>
    <row r="6" spans="1:36" s="5" customFormat="1" ht="15.75" x14ac:dyDescent="0.25">
      <c r="A6" s="10"/>
      <c r="B6" s="31" t="s">
        <v>50</v>
      </c>
      <c r="C6" s="21" t="s">
        <v>52</v>
      </c>
      <c r="E6" s="117">
        <v>1.5</v>
      </c>
      <c r="F6" s="21"/>
      <c r="G6" s="21"/>
      <c r="H6" s="19"/>
      <c r="I6" s="32"/>
      <c r="J6" s="10"/>
      <c r="K6" s="10"/>
      <c r="S6" s="3"/>
      <c r="U6" s="3"/>
      <c r="AE6" s="6"/>
      <c r="AF6" s="1"/>
      <c r="AG6"/>
      <c r="AH6"/>
      <c r="AI6"/>
      <c r="AJ6"/>
    </row>
    <row r="7" spans="1:36" s="5" customFormat="1" ht="15.75" x14ac:dyDescent="0.25">
      <c r="A7" s="10"/>
      <c r="B7" s="33" t="s">
        <v>53</v>
      </c>
      <c r="C7" s="2" t="s">
        <v>54</v>
      </c>
      <c r="E7" s="118">
        <v>12</v>
      </c>
      <c r="F7" s="7"/>
      <c r="G7" s="7"/>
      <c r="H7" s="19"/>
      <c r="I7" s="32"/>
      <c r="J7" s="10"/>
      <c r="K7" s="10"/>
      <c r="S7" s="3"/>
      <c r="U7" s="3"/>
      <c r="AE7" s="6"/>
      <c r="AF7" s="1"/>
      <c r="AG7"/>
      <c r="AH7"/>
      <c r="AI7"/>
      <c r="AJ7"/>
    </row>
    <row r="8" spans="1:36" s="5" customFormat="1" ht="14.45" customHeight="1" x14ac:dyDescent="0.25">
      <c r="A8" s="10"/>
      <c r="B8" s="34" t="s">
        <v>55</v>
      </c>
      <c r="C8" s="64" t="s">
        <v>51</v>
      </c>
      <c r="E8" s="118">
        <v>40</v>
      </c>
      <c r="F8" s="7"/>
      <c r="G8" s="7"/>
      <c r="H8" s="19"/>
      <c r="I8" s="32"/>
      <c r="J8" s="10"/>
      <c r="K8" s="10"/>
      <c r="S8" s="3"/>
      <c r="U8" s="3"/>
      <c r="AE8" s="6"/>
      <c r="AF8" s="1"/>
      <c r="AG8"/>
      <c r="AH8"/>
      <c r="AI8"/>
      <c r="AJ8"/>
    </row>
    <row r="9" spans="1:36" s="5" customFormat="1" ht="15.75" x14ac:dyDescent="0.25">
      <c r="A9" s="10"/>
      <c r="B9" s="34"/>
      <c r="C9" s="64"/>
      <c r="E9" s="24"/>
      <c r="F9" s="37"/>
      <c r="G9" s="37"/>
      <c r="H9" s="19"/>
      <c r="I9" s="32"/>
      <c r="J9" s="10"/>
      <c r="K9" s="10"/>
      <c r="S9" s="3"/>
      <c r="U9" s="3"/>
      <c r="AE9" s="6"/>
      <c r="AF9" s="1"/>
      <c r="AG9"/>
      <c r="AH9"/>
      <c r="AI9"/>
      <c r="AJ9"/>
    </row>
    <row r="10" spans="1:36" s="5" customFormat="1" ht="30" x14ac:dyDescent="0.25">
      <c r="A10" s="10"/>
      <c r="B10" s="274" t="s">
        <v>56</v>
      </c>
      <c r="C10" s="65"/>
      <c r="D10" s="70"/>
      <c r="E10" s="278" t="s">
        <v>49</v>
      </c>
      <c r="F10" s="20" t="s">
        <v>57</v>
      </c>
      <c r="G10" s="281" t="s">
        <v>58</v>
      </c>
      <c r="H10" s="20" t="s">
        <v>59</v>
      </c>
      <c r="I10" s="281" t="s">
        <v>60</v>
      </c>
      <c r="J10" s="10"/>
      <c r="K10" s="10"/>
      <c r="S10" s="3"/>
      <c r="U10" s="3"/>
      <c r="AE10" s="6"/>
      <c r="AF10" s="1"/>
      <c r="AG10"/>
      <c r="AH10"/>
      <c r="AI10"/>
      <c r="AJ10"/>
    </row>
    <row r="11" spans="1:36" s="5" customFormat="1" ht="15.75" x14ac:dyDescent="0.25">
      <c r="A11" s="10"/>
      <c r="B11" s="34" t="s">
        <v>61</v>
      </c>
      <c r="C11" s="64" t="s">
        <v>54</v>
      </c>
      <c r="E11" s="24">
        <f>E5*2/300+E7</f>
        <v>64.8</v>
      </c>
      <c r="F11" s="37">
        <v>500</v>
      </c>
      <c r="G11" s="37">
        <f>F11*1.0923</f>
        <v>546.15</v>
      </c>
      <c r="H11" s="19">
        <f>E11*F11</f>
        <v>32400</v>
      </c>
      <c r="I11" s="32">
        <f>H11*1.0923</f>
        <v>35390.520000000004</v>
      </c>
      <c r="J11" s="10"/>
      <c r="K11" s="10"/>
      <c r="S11" s="3"/>
      <c r="U11" s="3"/>
      <c r="AE11" s="6"/>
      <c r="AF11" s="1"/>
      <c r="AG11"/>
      <c r="AH11"/>
      <c r="AI11"/>
      <c r="AJ11"/>
    </row>
    <row r="12" spans="1:36" s="5" customFormat="1" ht="30" x14ac:dyDescent="0.25">
      <c r="A12" s="10"/>
      <c r="B12" s="61" t="s">
        <v>62</v>
      </c>
      <c r="C12" s="64" t="s">
        <v>51</v>
      </c>
      <c r="E12" s="24">
        <f>E5*4-(E7*E8)</f>
        <v>31200</v>
      </c>
      <c r="F12" s="37">
        <v>20</v>
      </c>
      <c r="G12" s="37">
        <f t="shared" ref="G12:G14" si="0">F12*1.0923</f>
        <v>21.846</v>
      </c>
      <c r="H12" s="19">
        <f>E12*F12</f>
        <v>624000</v>
      </c>
      <c r="I12" s="32">
        <f t="shared" ref="I12:I14" si="1">H12*1.0923</f>
        <v>681595.20000000007</v>
      </c>
      <c r="J12" s="10"/>
      <c r="K12" s="10"/>
      <c r="S12" s="3"/>
      <c r="U12" s="3"/>
      <c r="AE12" s="6"/>
      <c r="AF12" s="1"/>
      <c r="AG12"/>
      <c r="AH12"/>
      <c r="AI12"/>
      <c r="AJ12"/>
    </row>
    <row r="13" spans="1:36" s="5" customFormat="1" ht="45" x14ac:dyDescent="0.25">
      <c r="A13" s="10"/>
      <c r="B13" s="61" t="s">
        <v>64</v>
      </c>
      <c r="C13" s="64" t="s">
        <v>51</v>
      </c>
      <c r="D13" s="24"/>
      <c r="E13" s="119">
        <v>0</v>
      </c>
      <c r="F13" s="37">
        <v>20</v>
      </c>
      <c r="G13" s="37">
        <f t="shared" si="0"/>
        <v>21.846</v>
      </c>
      <c r="H13" s="19">
        <f>E13*F13</f>
        <v>0</v>
      </c>
      <c r="I13" s="32">
        <f t="shared" si="1"/>
        <v>0</v>
      </c>
      <c r="J13" s="10"/>
      <c r="K13" s="10"/>
      <c r="S13" s="3"/>
      <c r="U13" s="3"/>
      <c r="AE13" s="6"/>
      <c r="AF13" s="1"/>
      <c r="AG13"/>
      <c r="AH13"/>
      <c r="AI13"/>
      <c r="AJ13"/>
    </row>
    <row r="14" spans="1:36" s="5" customFormat="1" ht="30" x14ac:dyDescent="0.25">
      <c r="A14" s="10"/>
      <c r="B14" s="61" t="s">
        <v>65</v>
      </c>
      <c r="C14" s="64" t="s">
        <v>66</v>
      </c>
      <c r="D14" s="24"/>
      <c r="E14" s="24">
        <f>((E8+20)*E7)*12</f>
        <v>8640</v>
      </c>
      <c r="F14" s="37">
        <v>20</v>
      </c>
      <c r="G14" s="37">
        <f t="shared" si="0"/>
        <v>21.846</v>
      </c>
      <c r="H14" s="19">
        <f>E14*F14</f>
        <v>172800</v>
      </c>
      <c r="I14" s="32">
        <f t="shared" si="1"/>
        <v>188749.44</v>
      </c>
      <c r="J14" s="10"/>
      <c r="K14" s="10"/>
      <c r="S14" s="3"/>
      <c r="U14" s="3"/>
      <c r="AE14" s="6"/>
      <c r="AF14" s="1"/>
      <c r="AG14"/>
      <c r="AH14"/>
      <c r="AI14"/>
      <c r="AJ14"/>
    </row>
    <row r="15" spans="1:36" ht="30" x14ac:dyDescent="0.25">
      <c r="B15" s="274" t="s">
        <v>67</v>
      </c>
      <c r="C15" s="278" t="s">
        <v>68</v>
      </c>
      <c r="D15" s="279" t="s">
        <v>69</v>
      </c>
      <c r="E15" s="280" t="s">
        <v>49</v>
      </c>
      <c r="F15" s="20" t="s">
        <v>57</v>
      </c>
      <c r="G15" s="281" t="s">
        <v>58</v>
      </c>
      <c r="H15" s="20" t="s">
        <v>59</v>
      </c>
      <c r="I15" s="281" t="s">
        <v>60</v>
      </c>
    </row>
    <row r="16" spans="1:36" ht="15.75" x14ac:dyDescent="0.25">
      <c r="B16" s="71" t="s">
        <v>70</v>
      </c>
      <c r="C16" s="36" t="s">
        <v>71</v>
      </c>
      <c r="D16" s="24">
        <v>3</v>
      </c>
      <c r="E16" s="36">
        <f>E6*4+E7+2</f>
        <v>20</v>
      </c>
      <c r="F16" s="37">
        <v>50</v>
      </c>
      <c r="G16" s="37">
        <f>F16*1.0923</f>
        <v>54.615000000000002</v>
      </c>
      <c r="H16" s="37">
        <f>D16*E16*F16</f>
        <v>3000</v>
      </c>
      <c r="I16" s="38">
        <f>H16*1.0923</f>
        <v>3276.9</v>
      </c>
    </row>
    <row r="17" spans="2:9" ht="30" x14ac:dyDescent="0.25">
      <c r="B17" s="71" t="s">
        <v>72</v>
      </c>
      <c r="C17" s="36" t="s">
        <v>73</v>
      </c>
      <c r="D17" s="62">
        <v>1.3</v>
      </c>
      <c r="E17" s="123">
        <v>0</v>
      </c>
      <c r="F17" s="37">
        <v>50</v>
      </c>
      <c r="G17" s="37">
        <f t="shared" ref="G17:G20" si="2">F17*1.0923</f>
        <v>54.615000000000002</v>
      </c>
      <c r="H17" s="37">
        <f>D17*E17*F17</f>
        <v>0</v>
      </c>
      <c r="I17" s="38">
        <f t="shared" ref="I17:I20" si="3">H17*1.0923</f>
        <v>0</v>
      </c>
    </row>
    <row r="18" spans="2:9" ht="30" x14ac:dyDescent="0.25">
      <c r="B18" s="71" t="s">
        <v>74</v>
      </c>
      <c r="C18" s="36" t="s">
        <v>73</v>
      </c>
      <c r="D18" s="62">
        <v>1.3</v>
      </c>
      <c r="E18" s="123">
        <v>0</v>
      </c>
      <c r="F18" s="37">
        <v>50</v>
      </c>
      <c r="G18" s="37">
        <f t="shared" si="2"/>
        <v>54.615000000000002</v>
      </c>
      <c r="H18" s="37">
        <f t="shared" ref="H18:H20" si="4">D18*E18*F18</f>
        <v>0</v>
      </c>
      <c r="I18" s="38">
        <f t="shared" si="3"/>
        <v>0</v>
      </c>
    </row>
    <row r="19" spans="2:9" ht="30" x14ac:dyDescent="0.25">
      <c r="B19" s="71" t="s">
        <v>75</v>
      </c>
      <c r="C19" s="36" t="s">
        <v>76</v>
      </c>
      <c r="D19" s="62">
        <v>7.5</v>
      </c>
      <c r="E19" s="62">
        <f>E7*2</f>
        <v>24</v>
      </c>
      <c r="F19" s="37">
        <v>50</v>
      </c>
      <c r="G19" s="37">
        <f t="shared" si="2"/>
        <v>54.615000000000002</v>
      </c>
      <c r="H19" s="37">
        <f t="shared" si="4"/>
        <v>9000</v>
      </c>
      <c r="I19" s="38">
        <f t="shared" si="3"/>
        <v>9830.7000000000007</v>
      </c>
    </row>
    <row r="20" spans="2:9" ht="30" x14ac:dyDescent="0.25">
      <c r="B20" s="71" t="s">
        <v>77</v>
      </c>
      <c r="C20" s="36" t="s">
        <v>78</v>
      </c>
      <c r="D20" s="62">
        <v>6.25</v>
      </c>
      <c r="E20" s="119">
        <v>0</v>
      </c>
      <c r="F20" s="37">
        <v>50</v>
      </c>
      <c r="G20" s="37">
        <f t="shared" si="2"/>
        <v>54.615000000000002</v>
      </c>
      <c r="H20" s="37">
        <f t="shared" si="4"/>
        <v>0</v>
      </c>
      <c r="I20" s="38">
        <f t="shared" si="3"/>
        <v>0</v>
      </c>
    </row>
    <row r="21" spans="2:9" ht="15" customHeight="1" x14ac:dyDescent="0.25">
      <c r="B21" s="270" t="s">
        <v>87</v>
      </c>
      <c r="C21" s="47"/>
      <c r="D21" s="48"/>
      <c r="E21" s="49"/>
      <c r="F21" s="50"/>
      <c r="G21" s="50"/>
      <c r="H21" s="50">
        <f>SUM(H11:H20)</f>
        <v>841200</v>
      </c>
      <c r="I21" s="271">
        <f>H21*1.0923</f>
        <v>918842.76</v>
      </c>
    </row>
    <row r="22" spans="2:9" ht="15" customHeight="1" x14ac:dyDescent="0.25">
      <c r="B22" s="41"/>
      <c r="C22" s="25"/>
      <c r="D22" s="26"/>
      <c r="E22" s="27"/>
      <c r="F22" s="28"/>
      <c r="G22" s="28"/>
      <c r="H22" s="28"/>
      <c r="I22" s="42"/>
    </row>
    <row r="23" spans="2:9" ht="15" customHeight="1" x14ac:dyDescent="0.25">
      <c r="B23" s="282" t="s">
        <v>88</v>
      </c>
      <c r="C23" s="283" t="s">
        <v>89</v>
      </c>
      <c r="D23" s="254"/>
      <c r="E23" s="254"/>
      <c r="F23" s="51">
        <v>0.1</v>
      </c>
      <c r="G23" s="51"/>
      <c r="H23" s="134">
        <f>H21*F23</f>
        <v>84120</v>
      </c>
      <c r="I23" s="296">
        <f t="shared" ref="I23:I28" si="5">H23*1.0923</f>
        <v>91884.275999999998</v>
      </c>
    </row>
    <row r="24" spans="2:9" ht="15" customHeight="1" x14ac:dyDescent="0.25">
      <c r="B24" s="41" t="s">
        <v>90</v>
      </c>
      <c r="C24" s="25"/>
      <c r="D24" s="66"/>
      <c r="E24" s="67"/>
      <c r="F24" s="29"/>
      <c r="G24" s="29"/>
      <c r="H24" s="28">
        <f>SUM(H21:H23)</f>
        <v>925320</v>
      </c>
      <c r="I24" s="40">
        <f t="shared" si="5"/>
        <v>1010727.0360000001</v>
      </c>
    </row>
    <row r="25" spans="2:9" ht="15" customHeight="1" x14ac:dyDescent="0.25">
      <c r="B25" s="284" t="s">
        <v>91</v>
      </c>
      <c r="C25" s="285" t="s">
        <v>89</v>
      </c>
      <c r="D25" s="255"/>
      <c r="E25" s="255"/>
      <c r="F25" s="53">
        <v>0.1</v>
      </c>
      <c r="G25" s="53"/>
      <c r="H25" s="172">
        <f>H24*F25</f>
        <v>92532</v>
      </c>
      <c r="I25" s="286">
        <f t="shared" si="5"/>
        <v>101072.70360000001</v>
      </c>
    </row>
    <row r="26" spans="2:9" ht="15" customHeight="1" thickBot="1" x14ac:dyDescent="0.3">
      <c r="B26" s="54" t="s">
        <v>87</v>
      </c>
      <c r="C26" s="55"/>
      <c r="D26" s="68"/>
      <c r="E26" s="69"/>
      <c r="F26" s="56"/>
      <c r="G26" s="56"/>
      <c r="H26" s="173">
        <f>SUM(H24:H25)</f>
        <v>1017852</v>
      </c>
      <c r="I26" s="178">
        <f t="shared" si="5"/>
        <v>1111799.7396</v>
      </c>
    </row>
    <row r="27" spans="2:9" ht="15" customHeight="1" thickTop="1" x14ac:dyDescent="0.25">
      <c r="B27" s="282" t="s">
        <v>92</v>
      </c>
      <c r="C27" s="287" t="s">
        <v>93</v>
      </c>
      <c r="D27" s="252"/>
      <c r="E27" s="252"/>
      <c r="F27" s="51">
        <v>0.25</v>
      </c>
      <c r="G27" s="51"/>
      <c r="H27" s="180">
        <f>H26*F27</f>
        <v>254463</v>
      </c>
      <c r="I27" s="297">
        <f t="shared" si="5"/>
        <v>277949.93489999999</v>
      </c>
    </row>
    <row r="28" spans="2:9" ht="29.45" customHeight="1" thickBot="1" x14ac:dyDescent="0.3">
      <c r="B28" s="288" t="s">
        <v>94</v>
      </c>
      <c r="C28" s="289" t="s">
        <v>103</v>
      </c>
      <c r="D28" s="253"/>
      <c r="E28" s="253"/>
      <c r="F28" s="52">
        <v>0.1</v>
      </c>
      <c r="G28" s="52"/>
      <c r="H28" s="174">
        <f>H27*F28</f>
        <v>25446.300000000003</v>
      </c>
      <c r="I28" s="296">
        <f t="shared" si="5"/>
        <v>27794.993490000004</v>
      </c>
    </row>
    <row r="29" spans="2:9" ht="15" customHeight="1" thickTop="1" x14ac:dyDescent="0.25">
      <c r="B29" s="39"/>
      <c r="C29" s="22"/>
      <c r="D29" s="17"/>
      <c r="E29" s="4"/>
      <c r="F29" s="7"/>
      <c r="G29" s="7"/>
      <c r="H29" s="7"/>
      <c r="I29" s="183"/>
    </row>
    <row r="30" spans="2:9" ht="15" customHeight="1" thickBot="1" x14ac:dyDescent="0.3">
      <c r="B30" s="43" t="s">
        <v>96</v>
      </c>
      <c r="C30" s="44"/>
      <c r="D30" s="45"/>
      <c r="E30" s="13"/>
      <c r="F30" s="46"/>
      <c r="G30" s="46"/>
      <c r="H30" s="46">
        <f>SUM(H26,H27,H28)</f>
        <v>1297761.3</v>
      </c>
      <c r="I30" s="178">
        <f>H30*1.0923</f>
        <v>1417544.6679900002</v>
      </c>
    </row>
    <row r="31" spans="2:9" x14ac:dyDescent="0.25">
      <c r="I31" s="176"/>
    </row>
  </sheetData>
  <mergeCells count="6">
    <mergeCell ref="C28:E28"/>
    <mergeCell ref="C23:E23"/>
    <mergeCell ref="C25:E25"/>
    <mergeCell ref="C27:E27"/>
    <mergeCell ref="B2:I2"/>
    <mergeCell ref="B3:I3"/>
  </mergeCells>
  <dataValidations count="4">
    <dataValidation allowBlank="1" showInputMessage="1" showErrorMessage="1" promptTitle="Bike Lane Ahead" prompt="Enter additional quanities for this type of sign, if desired or required." sqref="E17" xr:uid="{4B2A3104-6767-4A7A-A01A-BB12C3C3D35E}"/>
    <dataValidation allowBlank="1" showInputMessage="1" showErrorMessage="1" promptTitle="Bike Lane Ends" prompt="Enter additional quanities for this type of sign, if desired or required." sqref="E18" xr:uid="{22882158-7DF8-4A19-80C9-0926675C9E1E}"/>
    <dataValidation allowBlank="1" showInputMessage="1" showErrorMessage="1" promptTitle="Bikes May Use Full Lane" prompt="Enter additional quanities for this type of sign, if desired or required." sqref="E20" xr:uid="{2AD7314D-0F29-4B99-9689-FAA33CDBD740}"/>
    <dataValidation allowBlank="1" showInputMessage="1" showErrorMessage="1" prompt="2025 cost values are estimated by applying a 9.23% inflation rate to 2022 costs." sqref="G10 I10 G15 I15" xr:uid="{816F2545-67D3-4528-8395-E6AE5CC546A4}"/>
  </dataValidations>
  <pageMargins left="0.25" right="0.25" top="0.75" bottom="0.75" header="0.3" footer="0.3"/>
  <pageSetup paperSize="3" scale="78" fitToHeight="0" orientation="landscape" r:id="rId1"/>
  <ignoredErrors>
    <ignoredError sqref="H26 H11:H2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2E59E43900A041AB301E9C6F8ACD76" ma:contentTypeVersion="3" ma:contentTypeDescription="Create a new document." ma:contentTypeScope="" ma:versionID="ff2ba04adab6319bc92f70e486fa425d">
  <xsd:schema xmlns:xsd="http://www.w3.org/2001/XMLSchema" xmlns:xs="http://www.w3.org/2001/XMLSchema" xmlns:p="http://schemas.microsoft.com/office/2006/metadata/properties" xmlns:ns2="3a04c534-3d27-4f18-8a25-09613d387b19" xmlns:ns3="3f919f12-12a8-48ea-bd7d-1fbdce651874" targetNamespace="http://schemas.microsoft.com/office/2006/metadata/properties" ma:root="true" ma:fieldsID="d84cb0d3b678567188803c734be27a6b" ns2:_="" ns3:_="">
    <xsd:import namespace="3a04c534-3d27-4f18-8a25-09613d387b19"/>
    <xsd:import namespace="3f919f12-12a8-48ea-bd7d-1fbdce651874"/>
    <xsd:element name="properties">
      <xsd:complexType>
        <xsd:sequence>
          <xsd:element name="documentManagement">
            <xsd:complexType>
              <xsd:all>
                <xsd:element ref="ns2:Category" minOccurs="0"/>
                <xsd:element ref="ns3:SharedWithUsers" minOccurs="0"/>
                <xsd:element ref="ns2:Sub_x002d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4c534-3d27-4f18-8a25-09613d387b19" elementFormDefault="qualified">
    <xsd:import namespace="http://schemas.microsoft.com/office/2006/documentManagement/types"/>
    <xsd:import namespace="http://schemas.microsoft.com/office/infopath/2007/PartnerControls"/>
    <xsd:element name="Category" ma:index="8" nillable="true" ma:displayName="Category" ma:format="Dropdown" ma:indexed="true" ma:internalName="Category">
      <xsd:simpleType>
        <xsd:restriction base="dms:Choice">
          <xsd:enumeration value="Home"/>
          <xsd:enumeration value="Long-Range Planning"/>
          <xsd:enumeration value="Regional Planning"/>
          <xsd:enumeration value="Capital Programming"/>
          <xsd:enumeration value="Commuter Choice"/>
          <xsd:enumeration value="Freight"/>
          <xsd:enumeration value="Bike/Walk"/>
          <xsd:enumeration value="Environmental"/>
          <xsd:enumeration value="Emerging Technologies"/>
          <xsd:enumeration value="Maryland Attainment Report"/>
          <xsd:enumeration value="Grants"/>
        </xsd:restriction>
      </xsd:simpleType>
    </xsd:element>
    <xsd:element name="Sub_x002d_Category" ma:index="10" nillable="true" ma:displayName="Sub-Category" ma:format="Dropdown" ma:internalName="Sub_x002d_Category">
      <xsd:simpleType>
        <xsd:restriction base="dms:Choice">
          <xsd:enumeration value="For Employers"/>
          <xsd:enumeration value="For Commuters"/>
          <xsd:enumeration value="Resource Library"/>
          <xsd:enumeration value="incenTrip"/>
          <xsd:enumeration value="Bikeways"/>
          <xsd:enumeration value="Chapter 30 Scoring"/>
          <xsd:enumeration value="Priority Letters"/>
          <xsd:enumeration value="Meeting Minutes"/>
          <xsd:enumeration value="Meeting Agendas"/>
          <xsd:enumeration value="Priority Letter Maps"/>
          <xsd:enumeration value="Attainment Report"/>
          <xsd:enumeration value="MBPAC"/>
          <xsd:enumeration value="STIP"/>
          <xsd:enumeration value="ZEEVIC"/>
          <xsd:enumeration value="BUILD"/>
          <xsd:enumeration value="INFRA"/>
        </xsd:restriction>
      </xsd:simpleType>
    </xsd:element>
  </xsd:schema>
  <xsd:schema xmlns:xsd="http://www.w3.org/2001/XMLSchema" xmlns:xs="http://www.w3.org/2001/XMLSchema" xmlns:dms="http://schemas.microsoft.com/office/2006/documentManagement/types" xmlns:pc="http://schemas.microsoft.com/office/infopath/2007/PartnerControls" targetNamespace="3f919f12-12a8-48ea-bd7d-1fbdce651874"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3a04c534-3d27-4f18-8a25-09613d387b19" xsi:nil="true"/>
    <Sub_x002d_Category xmlns="3a04c534-3d27-4f18-8a25-09613d387b1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0A35EC-69AB-4BCF-B994-F7ABFC55B14A}"/>
</file>

<file path=customXml/itemProps2.xml><?xml version="1.0" encoding="utf-8"?>
<ds:datastoreItem xmlns:ds="http://schemas.openxmlformats.org/officeDocument/2006/customXml" ds:itemID="{E7F355AA-5636-4008-81F2-B499475A66E5}">
  <ds:schemaRefs>
    <ds:schemaRef ds:uri="269f65b3-12dd-4708-be1b-59d65dfc2d92"/>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8a788ad4-f382-4838-988e-07fdbfb020d0"/>
    <ds:schemaRef ds:uri="http://schemas.microsoft.com/office/infopath/2007/PartnerControls"/>
    <ds:schemaRef ds:uri="http://purl.org/dc/terms/"/>
    <ds:schemaRef ds:uri="http://schemas.microsoft.com/sharepoint/v3"/>
  </ds:schemaRefs>
</ds:datastoreItem>
</file>

<file path=customXml/itemProps3.xml><?xml version="1.0" encoding="utf-8"?>
<ds:datastoreItem xmlns:ds="http://schemas.openxmlformats.org/officeDocument/2006/customXml" ds:itemID="{4B0ADA8A-A2D6-4F92-AD14-7A0F61E9788D}">
  <ds:schemaRefs>
    <ds:schemaRef ds:uri="http://schemas.microsoft.com/sharepoint/v3/contenttype/forms"/>
  </ds:schemaRefs>
</ds:datastoreItem>
</file>

<file path=docMetadata/LabelInfo.xml><?xml version="1.0" encoding="utf-8"?>
<clbl:labelList xmlns:clbl="http://schemas.microsoft.com/office/2020/mipLabelMetadata">
  <clbl:label id="{b38cd27c-57ca-4597-be28-22df43dd47f1}" enabled="0" method="" siteId="{b38cd27c-57ca-4597-be28-22df43dd47f1}" removed="1"/>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INTRO</vt:lpstr>
      <vt:lpstr>Table of Contents</vt:lpstr>
      <vt:lpstr>INSTRUCTIONS</vt:lpstr>
      <vt:lpstr>Shared Lane</vt:lpstr>
      <vt:lpstr>Shared Lanes</vt:lpstr>
      <vt:lpstr>Bike Lane Curbside</vt:lpstr>
      <vt:lpstr>Bike Lanes Curbside</vt:lpstr>
      <vt:lpstr>Bike Lane w Parking</vt:lpstr>
      <vt:lpstr>Bike Lanes w Parking</vt:lpstr>
      <vt:lpstr>Buffer Bike Lane Curbside</vt:lpstr>
      <vt:lpstr>Buffer Bike Lanes Curbside</vt:lpstr>
      <vt:lpstr>Protected Two Way Bike Lane</vt:lpstr>
      <vt:lpstr>Bike Blvd</vt:lpstr>
      <vt:lpstr>Shared-Use Paths</vt:lpstr>
      <vt:lpstr>'Bike Blvd'!Print_Area</vt:lpstr>
      <vt:lpstr>'Bike Lane Curbside'!Print_Area</vt:lpstr>
      <vt:lpstr>'Bike Lane w Parking'!Print_Area</vt:lpstr>
      <vt:lpstr>'Bike Lanes Curbside'!Print_Area</vt:lpstr>
      <vt:lpstr>'Bike Lanes w Parking'!Print_Area</vt:lpstr>
      <vt:lpstr>'Buffer Bike Lane Curbside'!Print_Area</vt:lpstr>
      <vt:lpstr>'Buffer Bike Lanes Curbside'!Print_Area</vt:lpstr>
      <vt:lpstr>INSTRUCTIONS!Print_Area</vt:lpstr>
      <vt:lpstr>INTRO!Print_Area</vt:lpstr>
      <vt:lpstr>'Protected Two Way Bike Lane'!Print_Area</vt:lpstr>
      <vt:lpstr>'Shared Lane'!Print_Area</vt:lpstr>
      <vt:lpstr>'Shared Lanes'!Print_Area</vt:lpstr>
      <vt:lpstr>'Shared-Use Paths'!Print_Area</vt:lpstr>
      <vt:lpstr>'Table of Contents'!Print_Area</vt:lpstr>
      <vt:lpstr>'Table of 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Nate Evans</dc:creator>
  <cp:keywords/>
  <dc:description/>
  <cp:lastModifiedBy>Quinn Wallace</cp:lastModifiedBy>
  <cp:revision/>
  <dcterms:created xsi:type="dcterms:W3CDTF">2019-04-02T18:46:05Z</dcterms:created>
  <dcterms:modified xsi:type="dcterms:W3CDTF">2026-01-08T20:59:39Z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0x010100A32E59E43900A041AB301E9C6F8ACD76</vt:lpwstr>
  </property>
  <property fmtid="{D5CDD505-2E9C-101B-9397-08002B2CF9AE}" pid="3" name="MediaServiceImageTags">
    <vt:lpwstr/>
  </property>
</Properties>
</file>